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11.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drawings/drawing12.xml" ContentType="application/vnd.openxmlformats-officedocument.drawing+xml"/>
  <Override PartName="/xl/charts/chartEx5.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astontan/Desktop/"/>
    </mc:Choice>
  </mc:AlternateContent>
  <xr:revisionPtr revIDLastSave="0" documentId="13_ncr:1_{1171E19C-6F38-2E45-A9A1-2D0EDD70ECDE}" xr6:coauthVersionLast="46" xr6:coauthVersionMax="46" xr10:uidLastSave="{00000000-0000-0000-0000-000000000000}"/>
  <bookViews>
    <workbookView xWindow="0" yWindow="0" windowWidth="33600" windowHeight="21000" tabRatio="779" activeTab="1" xr2:uid="{00000000-000D-0000-FFFF-FFFF00000000}"/>
  </bookViews>
  <sheets>
    <sheet name="Cover Page" sheetId="1" r:id="rId1"/>
    <sheet name="Index" sheetId="2" r:id="rId2"/>
    <sheet name="__Solver__" sheetId="7" state="hidden" r:id="rId3"/>
    <sheet name="__Solver___conflict180682969" sheetId="8" state="hidden" r:id="rId4"/>
    <sheet name="__Solver___conflict458398760" sheetId="9" state="hidden" r:id="rId5"/>
    <sheet name="__Solver___conflict659083936" sheetId="10" state="hidden" r:id="rId6"/>
    <sheet name="__Solver___conflict489032693" sheetId="11" state="hidden" r:id="rId7"/>
    <sheet name="FE Finance Assumptions" sheetId="14" r:id="rId8"/>
    <sheet name="FE Income Statement" sheetId="15" r:id="rId9"/>
    <sheet name="FE Balance Sheet" sheetId="16" r:id="rId10"/>
    <sheet name="FE Cash Flow" sheetId="17" r:id="rId11"/>
    <sheet name="FE Receivables Payables" sheetId="18" r:id="rId12"/>
    <sheet name="MK Segmentation" sheetId="19" r:id="rId13"/>
    <sheet name="MK Purchase Intent &amp; Price" sheetId="39" r:id="rId14"/>
    <sheet name="MK Bases Model (Base Case)" sheetId="20" r:id="rId15"/>
    <sheet name="MK Price to Channel" sheetId="21" r:id="rId16"/>
    <sheet name="MK ACV" sheetId="40" r:id="rId17"/>
    <sheet name="MK IMC Schedule Y1-Y5" sheetId="23" r:id="rId18"/>
    <sheet name="MK IMC Y1-Y5 Summary" sheetId="22" r:id="rId19"/>
    <sheet name="OM Manufacturing Assumptions" sheetId="29" r:id="rId20"/>
    <sheet name="OM Labor Costs" sheetId="32" r:id="rId21"/>
    <sheet name="OM Capacity Planning" sheetId="30" r:id="rId22"/>
    <sheet name="OM Depreciation" sheetId="38" r:id="rId23"/>
    <sheet name="OM BOM EOQ Y0-Y5" sheetId="24" r:id="rId24"/>
    <sheet name="OM COGS Yr 0-5" sheetId="34" r:id="rId25"/>
    <sheet name="OM Service Level" sheetId="26" r:id="rId26"/>
    <sheet name="OM Year0-5 Inventory Management" sheetId="27" r:id="rId27"/>
    <sheet name="OM Inventory Summary Table" sheetId="28" r:id="rId28"/>
    <sheet name="OM PERT Model for Demand &amp; Lead" sheetId="25" r:id="rId29"/>
    <sheet name="OM Aggregate Hybrid Plan Y0-5" sheetId="31" r:id="rId30"/>
    <sheet name="OM Aggregate Chase &amp; Level" sheetId="49" r:id="rId31"/>
    <sheet name="__Solver___conflict1506144561" sheetId="35" state="hidden" r:id="rId32"/>
    <sheet name="__Solver___conflict114111070" sheetId="36" state="hidden" r:id="rId33"/>
    <sheet name="OM Inbound Logistics" sheetId="51" r:id="rId34"/>
    <sheet name="OM Outbound Logistics" sheetId="37" r:id="rId35"/>
    <sheet name="OM Facility Location Planning" sheetId="50" r:id="rId36"/>
    <sheet name="OM Costs Pie Charts Y0-Y5" sheetId="33" r:id="rId37"/>
    <sheet name="QM Influence Chart" sheetId="43" r:id="rId38"/>
    <sheet name="QM Sensitivity Analysis" sheetId="44" r:id="rId39"/>
    <sheet name="QM Simulation Summary" sheetId="45" r:id="rId40"/>
    <sheet name="QM Simulation 1" sheetId="46" r:id="rId41"/>
    <sheet name="QM Simulation 2" sheetId="47" r:id="rId42"/>
    <sheet name="QM All Variables Simulation" sheetId="48" r:id="rId43"/>
  </sheets>
  <definedNames>
    <definedName name="_xlnm._FilterDatabase" localSheetId="38" hidden="1">'QM Sensitivity Analysis'!$A$3:$U$3</definedName>
    <definedName name="_xlchart.v1.0" hidden="1">'OM Year0-5 Inventory Management'!$H$149:$H$153</definedName>
    <definedName name="_xlchart.v1.1" hidden="1">'OM Year0-5 Inventory Management'!$I$148</definedName>
    <definedName name="_xlchart.v1.10" hidden="1">'QM All Variables Simulation'!$D$13:$D$1012</definedName>
    <definedName name="_xlchart.v1.11" hidden="1">'QM All Variables Simulation'!$D$13:$D$1012</definedName>
    <definedName name="_xlchart.v1.2" hidden="1">'OM Year0-5 Inventory Management'!$I$149:$I$153</definedName>
    <definedName name="_xlchart.v1.3" hidden="1">'OM Year0-5 Inventory Management'!$J$148</definedName>
    <definedName name="_xlchart.v1.4" hidden="1">'OM Year0-5 Inventory Management'!$J$149:$J$153</definedName>
    <definedName name="_xlchart.v1.5" hidden="1">'QM Simulation 1'!$D$13:$D$1012</definedName>
    <definedName name="_xlchart.v1.6" hidden="1">'QM Simulation 1'!$D$13:$D$1012</definedName>
    <definedName name="_xlchart.v1.7" hidden="1">'QM Simulation 1'!$B$13:$B$1012</definedName>
    <definedName name="_xlchart.v1.8" hidden="1">'QM Simulation 2'!$D$13:$D$1012</definedName>
    <definedName name="_xlchart.v1.9" hidden="1">'QM Simulation 2'!$B$13:$B$1012</definedName>
    <definedName name="DataTable_QMSimulation1_C12" localSheetId="30">#REF!</definedName>
    <definedName name="DataTable_QMSimulation1_C12" localSheetId="35">#REF!</definedName>
    <definedName name="DataTable_QMSimulation1_C12">#REF!</definedName>
    <definedName name="input1" localSheetId="29">'OM Aggregate Hybrid Plan Y0-5'!$D$29:$O$29</definedName>
    <definedName name="input2" localSheetId="29">'OM Aggregate Hybrid Plan Y0-5'!$D$31:$O$34</definedName>
    <definedName name="input3" localSheetId="29">'OM Aggregate Hybrid Plan Y0-5'!$C$38:$C$40</definedName>
    <definedName name="input4" localSheetId="29">'OM Aggregate Hybrid Plan Y0-5'!$C$42:$C$47</definedName>
    <definedName name="input5" localSheetId="29">#REF!</definedName>
    <definedName name="Simulation_Number" localSheetId="30">#REF!</definedName>
    <definedName name="Simulation_Number" localSheetId="35">#REF!</definedName>
    <definedName name="Simulation_Number">#REF!</definedName>
    <definedName name="solver_adj" localSheetId="13" hidden="1">'MK Purchase Intent &amp; Price'!$I$25</definedName>
    <definedName name="solver_adj" localSheetId="41" hidden="1">'QM Simulation 2'!$N$20</definedName>
    <definedName name="solver_cvg" localSheetId="13" hidden="1">0.0001</definedName>
    <definedName name="solver_drv" localSheetId="13" hidden="1">1</definedName>
    <definedName name="solver_eng" localSheetId="13" hidden="1">1</definedName>
    <definedName name="solver_eng" localSheetId="41" hidden="1">1</definedName>
    <definedName name="solver_est" localSheetId="13" hidden="1">1</definedName>
    <definedName name="solver_itr" localSheetId="13" hidden="1">100</definedName>
    <definedName name="solver_lhs1" localSheetId="13" hidden="1">'MK Purchase Intent &amp; Price'!$I$25</definedName>
    <definedName name="solver_lhs2" localSheetId="13" hidden="1">'MK Purchase Intent &amp; Price'!$I$25</definedName>
    <definedName name="solver_lin" localSheetId="13" hidden="1">2</definedName>
    <definedName name="solver_mip" localSheetId="13" hidden="1">2147483647</definedName>
    <definedName name="solver_mni" localSheetId="13" hidden="1">30</definedName>
    <definedName name="solver_mrt" localSheetId="13" hidden="1">0.075</definedName>
    <definedName name="solver_msl" localSheetId="13" hidden="1">2</definedName>
    <definedName name="solver_neg" localSheetId="13" hidden="1">1</definedName>
    <definedName name="solver_neg" localSheetId="41" hidden="1">1</definedName>
    <definedName name="solver_nod" localSheetId="13" hidden="1">2147483647</definedName>
    <definedName name="solver_num" localSheetId="13" hidden="1">2</definedName>
    <definedName name="solver_num" localSheetId="41" hidden="1">0</definedName>
    <definedName name="solver_nwt" localSheetId="13" hidden="1">1</definedName>
    <definedName name="solver_opt" localSheetId="13" hidden="1">'MK Purchase Intent &amp; Price'!$K$25</definedName>
    <definedName name="solver_opt" localSheetId="41" hidden="1">'QM Simulation 2'!$N$21</definedName>
    <definedName name="solver_pre" localSheetId="13" hidden="1">0.000001</definedName>
    <definedName name="solver_rbv" localSheetId="13" hidden="1">1</definedName>
    <definedName name="solver_rel1" localSheetId="13" hidden="1">1</definedName>
    <definedName name="solver_rel2" localSheetId="13" hidden="1">3</definedName>
    <definedName name="solver_rhs1" localSheetId="13" hidden="1">451.5</definedName>
    <definedName name="solver_rhs2" localSheetId="13" hidden="1">195.5</definedName>
    <definedName name="solver_rlx" localSheetId="13" hidden="1">1</definedName>
    <definedName name="solver_rsd" localSheetId="13" hidden="1">0</definedName>
    <definedName name="solver_scl" localSheetId="13" hidden="1">2</definedName>
    <definedName name="solver_sho" localSheetId="13" hidden="1">2</definedName>
    <definedName name="solver_ssz" localSheetId="13" hidden="1">100</definedName>
    <definedName name="solver_tim" localSheetId="13" hidden="1">100</definedName>
    <definedName name="solver_tol" localSheetId="13" hidden="1">0.05</definedName>
    <definedName name="solver_typ" localSheetId="13" hidden="1">1</definedName>
    <definedName name="solver_typ" localSheetId="41" hidden="1">3</definedName>
    <definedName name="solver_val" localSheetId="13" hidden="1">0</definedName>
    <definedName name="solver_val" localSheetId="41" hidden="1">2</definedName>
    <definedName name="solver_ver" localSheetId="13" hidden="1">3</definedName>
    <definedName name="solver_ver" localSheetId="41" hidden="1">3</definedName>
  </definedNames>
  <calcPr calcId="191029"/>
  <pivotCaches>
    <pivotCache cacheId="82" r:id="rId4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1" i="46" l="1"/>
  <c r="K13" i="22"/>
  <c r="L13" i="22"/>
  <c r="M13" i="22"/>
  <c r="N13" i="22"/>
  <c r="J13" i="22"/>
  <c r="B31" i="45"/>
  <c r="C31" i="45"/>
  <c r="B32" i="45"/>
  <c r="C32" i="45"/>
  <c r="I153" i="27"/>
  <c r="I152" i="27"/>
  <c r="I151" i="27"/>
  <c r="I150" i="27"/>
  <c r="I149" i="27"/>
  <c r="B111" i="34"/>
  <c r="B109" i="34"/>
  <c r="B110" i="34" s="1"/>
  <c r="D21" i="21"/>
  <c r="C13" i="51"/>
  <c r="D13" i="51"/>
  <c r="E13" i="51"/>
  <c r="F13" i="51"/>
  <c r="G13" i="51"/>
  <c r="H13" i="51"/>
  <c r="I13" i="51"/>
  <c r="J13" i="51"/>
  <c r="K13" i="51"/>
  <c r="L13" i="51"/>
  <c r="M13" i="51"/>
  <c r="B13" i="51"/>
  <c r="C12" i="51"/>
  <c r="D12" i="51"/>
  <c r="E12" i="51"/>
  <c r="F12" i="51"/>
  <c r="G12" i="51"/>
  <c r="H12" i="51"/>
  <c r="I12" i="51"/>
  <c r="J12" i="51"/>
  <c r="K12" i="51"/>
  <c r="L12" i="51"/>
  <c r="M12" i="51"/>
  <c r="B12" i="51"/>
  <c r="C11" i="51"/>
  <c r="D11" i="51"/>
  <c r="E11" i="51"/>
  <c r="F11" i="51"/>
  <c r="G11" i="51"/>
  <c r="H11" i="51"/>
  <c r="I11" i="51"/>
  <c r="J11" i="51"/>
  <c r="K11" i="51"/>
  <c r="L11" i="51"/>
  <c r="M11" i="51"/>
  <c r="B11" i="51"/>
  <c r="C10" i="51"/>
  <c r="D10" i="51"/>
  <c r="E10" i="51"/>
  <c r="F10" i="51"/>
  <c r="G10" i="51"/>
  <c r="H10" i="51"/>
  <c r="I10" i="51"/>
  <c r="J10" i="51"/>
  <c r="K10" i="51"/>
  <c r="L10" i="51"/>
  <c r="M10" i="51"/>
  <c r="B10" i="51"/>
  <c r="C9" i="51"/>
  <c r="C14" i="51" s="1"/>
  <c r="D9" i="51"/>
  <c r="D14" i="51" s="1"/>
  <c r="E9" i="51"/>
  <c r="E14" i="51" s="1"/>
  <c r="F9" i="51"/>
  <c r="F14" i="51" s="1"/>
  <c r="G9" i="51"/>
  <c r="G14" i="51" s="1"/>
  <c r="H9" i="51"/>
  <c r="H14" i="51" s="1"/>
  <c r="I9" i="51"/>
  <c r="J9" i="51"/>
  <c r="K9" i="51"/>
  <c r="L9" i="51"/>
  <c r="M9" i="51"/>
  <c r="B9" i="51"/>
  <c r="N9" i="51" s="1"/>
  <c r="L8" i="51"/>
  <c r="M8" i="51"/>
  <c r="K8" i="51"/>
  <c r="B84" i="29"/>
  <c r="D48" i="50"/>
  <c r="E48" i="50"/>
  <c r="F48" i="50"/>
  <c r="G48" i="50"/>
  <c r="C48" i="50"/>
  <c r="B40" i="50"/>
  <c r="B39" i="50"/>
  <c r="B38" i="50"/>
  <c r="B37" i="50"/>
  <c r="D59" i="50"/>
  <c r="E59" i="50"/>
  <c r="E60" i="50" s="1"/>
  <c r="E40" i="50" s="1"/>
  <c r="F59" i="50"/>
  <c r="G59" i="50"/>
  <c r="C59" i="50"/>
  <c r="D56" i="50"/>
  <c r="E56" i="50"/>
  <c r="F56" i="50"/>
  <c r="G56" i="50"/>
  <c r="C56" i="50"/>
  <c r="C47" i="50"/>
  <c r="D47" i="50"/>
  <c r="D37" i="50" s="1"/>
  <c r="E47" i="50"/>
  <c r="E37" i="50" s="1"/>
  <c r="F47" i="50"/>
  <c r="F37" i="50" s="1"/>
  <c r="G47" i="50"/>
  <c r="G37" i="50" s="1"/>
  <c r="C52" i="50"/>
  <c r="D52" i="50"/>
  <c r="E52" i="50"/>
  <c r="F52" i="50"/>
  <c r="G52" i="50"/>
  <c r="C3" i="49"/>
  <c r="C5" i="49"/>
  <c r="C7" i="49"/>
  <c r="C8" i="49"/>
  <c r="C9" i="49"/>
  <c r="O14" i="49"/>
  <c r="C19" i="49"/>
  <c r="D19" i="49"/>
  <c r="E19" i="49"/>
  <c r="F19" i="49"/>
  <c r="G19" i="49"/>
  <c r="H19" i="49"/>
  <c r="I19" i="49"/>
  <c r="J19" i="49"/>
  <c r="K19" i="49"/>
  <c r="L19" i="49"/>
  <c r="M19" i="49"/>
  <c r="N19" i="49"/>
  <c r="O19" i="49"/>
  <c r="C20" i="49"/>
  <c r="D20" i="49"/>
  <c r="E20" i="49"/>
  <c r="F20" i="49"/>
  <c r="G20" i="49"/>
  <c r="H20" i="49"/>
  <c r="I20" i="49"/>
  <c r="J20" i="49"/>
  <c r="K20" i="49"/>
  <c r="L20" i="49"/>
  <c r="M20" i="49"/>
  <c r="N20" i="49"/>
  <c r="O20" i="49"/>
  <c r="C22" i="49"/>
  <c r="D22" i="49"/>
  <c r="E22" i="49"/>
  <c r="F22" i="49"/>
  <c r="G22" i="49"/>
  <c r="H22" i="49"/>
  <c r="I22" i="49"/>
  <c r="J22" i="49"/>
  <c r="K22" i="49"/>
  <c r="L22" i="49"/>
  <c r="M22" i="49"/>
  <c r="N22" i="49"/>
  <c r="O22" i="49"/>
  <c r="C23" i="49"/>
  <c r="D23" i="49"/>
  <c r="E23" i="49"/>
  <c r="F23" i="49"/>
  <c r="G23" i="49"/>
  <c r="H23" i="49"/>
  <c r="I23" i="49"/>
  <c r="J23" i="49"/>
  <c r="K23" i="49"/>
  <c r="L23" i="49"/>
  <c r="M23" i="49"/>
  <c r="N23" i="49"/>
  <c r="O23" i="49"/>
  <c r="C24" i="49"/>
  <c r="D24" i="49"/>
  <c r="E24" i="49"/>
  <c r="F24" i="49"/>
  <c r="G24" i="49"/>
  <c r="H24" i="49"/>
  <c r="I24" i="49"/>
  <c r="J24" i="49"/>
  <c r="K24" i="49"/>
  <c r="L24" i="49"/>
  <c r="M24" i="49"/>
  <c r="N24" i="49"/>
  <c r="O24" i="49"/>
  <c r="C25" i="49"/>
  <c r="D25" i="49"/>
  <c r="E25" i="49"/>
  <c r="F25" i="49"/>
  <c r="G25" i="49"/>
  <c r="H25" i="49"/>
  <c r="I25" i="49"/>
  <c r="J25" i="49"/>
  <c r="K25" i="49"/>
  <c r="L25" i="49"/>
  <c r="M25" i="49"/>
  <c r="N25" i="49"/>
  <c r="O25" i="49"/>
  <c r="C30" i="49"/>
  <c r="D30" i="49"/>
  <c r="E30" i="49"/>
  <c r="F30" i="49"/>
  <c r="G30" i="49"/>
  <c r="H30" i="49"/>
  <c r="I30" i="49"/>
  <c r="J30" i="49"/>
  <c r="K30" i="49"/>
  <c r="L30" i="49"/>
  <c r="M30" i="49"/>
  <c r="N30" i="49"/>
  <c r="O30" i="49"/>
  <c r="O36" i="49"/>
  <c r="C39" i="49"/>
  <c r="D39" i="49"/>
  <c r="E39" i="49"/>
  <c r="F39" i="49"/>
  <c r="G39" i="49"/>
  <c r="H39" i="49"/>
  <c r="I39" i="49"/>
  <c r="J39" i="49"/>
  <c r="K39" i="49"/>
  <c r="L39" i="49"/>
  <c r="M39" i="49"/>
  <c r="N39" i="49"/>
  <c r="C50" i="49"/>
  <c r="D50" i="49"/>
  <c r="F50" i="49"/>
  <c r="G50" i="49"/>
  <c r="H50" i="49"/>
  <c r="J50" i="49"/>
  <c r="K50" i="49"/>
  <c r="L50" i="49"/>
  <c r="M50" i="49"/>
  <c r="N50" i="49"/>
  <c r="L51" i="49"/>
  <c r="M51" i="49"/>
  <c r="N51" i="49"/>
  <c r="C52" i="49"/>
  <c r="D52" i="49"/>
  <c r="E52" i="49"/>
  <c r="F52" i="49"/>
  <c r="G52" i="49"/>
  <c r="H52" i="49"/>
  <c r="I52" i="49"/>
  <c r="J52" i="49"/>
  <c r="K52" i="49"/>
  <c r="L52" i="49"/>
  <c r="M52" i="49"/>
  <c r="N52" i="49"/>
  <c r="O52" i="49"/>
  <c r="C58" i="49"/>
  <c r="J93" i="49" s="1"/>
  <c r="C60" i="49"/>
  <c r="C61" i="49"/>
  <c r="C62" i="49"/>
  <c r="C64" i="49"/>
  <c r="O68" i="49"/>
  <c r="O90" i="49"/>
  <c r="D93" i="49"/>
  <c r="E93" i="49"/>
  <c r="F93" i="49"/>
  <c r="F104" i="49" s="1"/>
  <c r="G93" i="49"/>
  <c r="G104" i="49" s="1"/>
  <c r="H93" i="49"/>
  <c r="H104" i="49" s="1"/>
  <c r="I93" i="49"/>
  <c r="M93" i="49"/>
  <c r="D104" i="49"/>
  <c r="E104" i="49"/>
  <c r="M104" i="49"/>
  <c r="G10" i="47"/>
  <c r="C11" i="45" s="1"/>
  <c r="G2" i="47"/>
  <c r="C3" i="45" s="1"/>
  <c r="G10" i="46"/>
  <c r="B11" i="45" s="1"/>
  <c r="G8" i="46"/>
  <c r="B9" i="45" s="1"/>
  <c r="G5" i="46"/>
  <c r="B6" i="45" s="1"/>
  <c r="G6" i="46"/>
  <c r="B7" i="45" s="1"/>
  <c r="G2" i="46"/>
  <c r="B3" i="45" s="1"/>
  <c r="G12" i="47"/>
  <c r="C13" i="45" s="1"/>
  <c r="G8" i="47"/>
  <c r="C9" i="45" s="1"/>
  <c r="G4" i="47"/>
  <c r="C5" i="45" s="1"/>
  <c r="G3" i="47"/>
  <c r="C4" i="45" s="1"/>
  <c r="G3" i="46"/>
  <c r="B4" i="45" s="1"/>
  <c r="V4" i="31"/>
  <c r="M37" i="24"/>
  <c r="F8" i="20"/>
  <c r="E8" i="20"/>
  <c r="D8" i="20"/>
  <c r="C8" i="20"/>
  <c r="B8" i="20"/>
  <c r="C7" i="20"/>
  <c r="D7" i="20"/>
  <c r="E7" i="20"/>
  <c r="F7" i="20"/>
  <c r="B7" i="20"/>
  <c r="G2" i="48"/>
  <c r="D3" i="45" s="1"/>
  <c r="G3" i="48"/>
  <c r="D4" i="45" s="1"/>
  <c r="G4" i="48"/>
  <c r="D5" i="45" s="1"/>
  <c r="G5" i="48"/>
  <c r="D6" i="45" s="1"/>
  <c r="G6" i="48"/>
  <c r="D7" i="45" s="1"/>
  <c r="G7" i="48"/>
  <c r="D8" i="45" s="1"/>
  <c r="G8" i="48"/>
  <c r="D9" i="45" s="1"/>
  <c r="G9" i="48"/>
  <c r="D10" i="45" s="1"/>
  <c r="G10" i="48"/>
  <c r="D11" i="45" s="1"/>
  <c r="G11" i="48"/>
  <c r="D12" i="45" s="1"/>
  <c r="G12" i="48"/>
  <c r="D13" i="45" s="1"/>
  <c r="C3" i="47"/>
  <c r="B7" i="47" s="1"/>
  <c r="B8" i="47" s="1"/>
  <c r="H41" i="34" s="1"/>
  <c r="G5" i="47"/>
  <c r="C6" i="45" s="1"/>
  <c r="G6" i="47"/>
  <c r="C7" i="45" s="1"/>
  <c r="G7" i="47"/>
  <c r="C8" i="45" s="1"/>
  <c r="G9" i="47"/>
  <c r="C10" i="45" s="1"/>
  <c r="G11" i="47"/>
  <c r="C12" i="45" s="1"/>
  <c r="A13" i="47"/>
  <c r="B13" i="47" s="1"/>
  <c r="A14" i="47"/>
  <c r="B14" i="47" s="1"/>
  <c r="A15" i="47"/>
  <c r="B15" i="47" s="1"/>
  <c r="A16" i="47"/>
  <c r="B16" i="47" s="1"/>
  <c r="A17" i="47"/>
  <c r="B17" i="47" s="1"/>
  <c r="A18" i="47"/>
  <c r="B18" i="47" s="1"/>
  <c r="A19" i="47"/>
  <c r="B19" i="47" s="1"/>
  <c r="A20" i="47"/>
  <c r="B20" i="47" s="1"/>
  <c r="L20" i="47"/>
  <c r="M20" i="47"/>
  <c r="M21" i="47" s="1"/>
  <c r="N20" i="47"/>
  <c r="N21" i="47" s="1"/>
  <c r="A21" i="47"/>
  <c r="B21" i="47" s="1"/>
  <c r="A22" i="47"/>
  <c r="B22" i="47" s="1"/>
  <c r="A23" i="47"/>
  <c r="B23" i="47" s="1"/>
  <c r="A24" i="47"/>
  <c r="B24" i="47" s="1"/>
  <c r="A25" i="47"/>
  <c r="B25" i="47" s="1"/>
  <c r="A26" i="47"/>
  <c r="B26" i="47" s="1"/>
  <c r="A27" i="47"/>
  <c r="B27" i="47" s="1"/>
  <c r="A28" i="47"/>
  <c r="B28" i="47" s="1"/>
  <c r="A29" i="47"/>
  <c r="B29" i="47" s="1"/>
  <c r="A30" i="47"/>
  <c r="B30" i="47" s="1"/>
  <c r="A31" i="47"/>
  <c r="B31" i="47" s="1"/>
  <c r="A32" i="47"/>
  <c r="B32" i="47" s="1"/>
  <c r="A33" i="47"/>
  <c r="B33" i="47" s="1"/>
  <c r="A34" i="47"/>
  <c r="B34" i="47" s="1"/>
  <c r="A35" i="47"/>
  <c r="B35" i="47" s="1"/>
  <c r="A36" i="47"/>
  <c r="B36" i="47" s="1"/>
  <c r="A37" i="47"/>
  <c r="B37" i="47" s="1"/>
  <c r="A38" i="47"/>
  <c r="B38" i="47" s="1"/>
  <c r="A39" i="47"/>
  <c r="B39" i="47" s="1"/>
  <c r="A40" i="47"/>
  <c r="B40" i="47" s="1"/>
  <c r="A41" i="47"/>
  <c r="B41" i="47" s="1"/>
  <c r="A42" i="47"/>
  <c r="B42" i="47" s="1"/>
  <c r="A43" i="47"/>
  <c r="B43" i="47" s="1"/>
  <c r="A44" i="47"/>
  <c r="B44" i="47" s="1"/>
  <c r="A45" i="47"/>
  <c r="B45" i="47" s="1"/>
  <c r="A46" i="47"/>
  <c r="B46" i="47" s="1"/>
  <c r="A47" i="47"/>
  <c r="B47" i="47" s="1"/>
  <c r="A48" i="47"/>
  <c r="B48" i="47" s="1"/>
  <c r="A49" i="47"/>
  <c r="B49" i="47" s="1"/>
  <c r="A50" i="47"/>
  <c r="B50" i="47" s="1"/>
  <c r="A51" i="47"/>
  <c r="B51" i="47" s="1"/>
  <c r="A52" i="47"/>
  <c r="B52" i="47" s="1"/>
  <c r="A53" i="47"/>
  <c r="B53" i="47" s="1"/>
  <c r="A54" i="47"/>
  <c r="B54" i="47" s="1"/>
  <c r="A55" i="47"/>
  <c r="B55" i="47" s="1"/>
  <c r="A56" i="47"/>
  <c r="B56" i="47" s="1"/>
  <c r="A57" i="47"/>
  <c r="B57" i="47" s="1"/>
  <c r="A58" i="47"/>
  <c r="B58" i="47" s="1"/>
  <c r="A59" i="47"/>
  <c r="B59" i="47" s="1"/>
  <c r="A60" i="47"/>
  <c r="B60" i="47" s="1"/>
  <c r="A61" i="47"/>
  <c r="B61" i="47" s="1"/>
  <c r="A62" i="47"/>
  <c r="B62" i="47" s="1"/>
  <c r="A63" i="47"/>
  <c r="B63" i="47" s="1"/>
  <c r="A64" i="47"/>
  <c r="B64" i="47" s="1"/>
  <c r="A65" i="47"/>
  <c r="B65" i="47" s="1"/>
  <c r="A66" i="47"/>
  <c r="B66" i="47" s="1"/>
  <c r="A67" i="47"/>
  <c r="B67" i="47" s="1"/>
  <c r="A68" i="47"/>
  <c r="B68" i="47" s="1"/>
  <c r="A69" i="47"/>
  <c r="B69" i="47" s="1"/>
  <c r="A70" i="47"/>
  <c r="B70" i="47" s="1"/>
  <c r="A71" i="47"/>
  <c r="B71" i="47" s="1"/>
  <c r="A72" i="47"/>
  <c r="B72" i="47" s="1"/>
  <c r="A73" i="47"/>
  <c r="B73" i="47" s="1"/>
  <c r="A74" i="47"/>
  <c r="B74" i="47" s="1"/>
  <c r="A75" i="47"/>
  <c r="B75" i="47" s="1"/>
  <c r="A76" i="47"/>
  <c r="B76" i="47" s="1"/>
  <c r="A77" i="47"/>
  <c r="B77" i="47" s="1"/>
  <c r="A78" i="47"/>
  <c r="B78" i="47" s="1"/>
  <c r="A79" i="47"/>
  <c r="B79" i="47" s="1"/>
  <c r="A80" i="47"/>
  <c r="B80" i="47" s="1"/>
  <c r="A81" i="47"/>
  <c r="B81" i="47" s="1"/>
  <c r="A82" i="47"/>
  <c r="B82" i="47" s="1"/>
  <c r="A83" i="47"/>
  <c r="B83" i="47" s="1"/>
  <c r="A84" i="47"/>
  <c r="B84" i="47" s="1"/>
  <c r="A85" i="47"/>
  <c r="B85" i="47" s="1"/>
  <c r="A86" i="47"/>
  <c r="B86" i="47" s="1"/>
  <c r="A87" i="47"/>
  <c r="B87" i="47" s="1"/>
  <c r="A88" i="47"/>
  <c r="B88" i="47" s="1"/>
  <c r="A89" i="47"/>
  <c r="B89" i="47" s="1"/>
  <c r="A90" i="47"/>
  <c r="B90" i="47" s="1"/>
  <c r="A91" i="47"/>
  <c r="B91" i="47" s="1"/>
  <c r="A92" i="47"/>
  <c r="B92" i="47" s="1"/>
  <c r="A93" i="47"/>
  <c r="B93" i="47" s="1"/>
  <c r="A94" i="47"/>
  <c r="B94" i="47" s="1"/>
  <c r="A95" i="47"/>
  <c r="B95" i="47" s="1"/>
  <c r="A96" i="47"/>
  <c r="B96" i="47" s="1"/>
  <c r="A97" i="47"/>
  <c r="B97" i="47" s="1"/>
  <c r="A98" i="47"/>
  <c r="B98" i="47" s="1"/>
  <c r="A99" i="47"/>
  <c r="B99" i="47" s="1"/>
  <c r="A100" i="47"/>
  <c r="B100" i="47" s="1"/>
  <c r="A101" i="47"/>
  <c r="B101" i="47" s="1"/>
  <c r="A102" i="47"/>
  <c r="B102" i="47" s="1"/>
  <c r="A103" i="47"/>
  <c r="B103" i="47" s="1"/>
  <c r="A104" i="47"/>
  <c r="B104" i="47" s="1"/>
  <c r="A105" i="47"/>
  <c r="B105" i="47" s="1"/>
  <c r="A106" i="47"/>
  <c r="B106" i="47" s="1"/>
  <c r="A107" i="47"/>
  <c r="B107" i="47" s="1"/>
  <c r="A108" i="47"/>
  <c r="B108" i="47" s="1"/>
  <c r="A109" i="47"/>
  <c r="B109" i="47" s="1"/>
  <c r="A110" i="47"/>
  <c r="B110" i="47" s="1"/>
  <c r="A111" i="47"/>
  <c r="B111" i="47" s="1"/>
  <c r="A112" i="47"/>
  <c r="B112" i="47" s="1"/>
  <c r="A113" i="47"/>
  <c r="B113" i="47" s="1"/>
  <c r="A114" i="47"/>
  <c r="B114" i="47" s="1"/>
  <c r="A115" i="47"/>
  <c r="B115" i="47" s="1"/>
  <c r="A116" i="47"/>
  <c r="B116" i="47" s="1"/>
  <c r="A117" i="47"/>
  <c r="B117" i="47" s="1"/>
  <c r="A118" i="47"/>
  <c r="B118" i="47" s="1"/>
  <c r="A119" i="47"/>
  <c r="B119" i="47" s="1"/>
  <c r="A120" i="47"/>
  <c r="B120" i="47" s="1"/>
  <c r="A121" i="47"/>
  <c r="B121" i="47" s="1"/>
  <c r="A122" i="47"/>
  <c r="B122" i="47" s="1"/>
  <c r="A123" i="47"/>
  <c r="B123" i="47" s="1"/>
  <c r="A124" i="47"/>
  <c r="B124" i="47" s="1"/>
  <c r="A125" i="47"/>
  <c r="B125" i="47" s="1"/>
  <c r="A126" i="47"/>
  <c r="B126" i="47" s="1"/>
  <c r="A127" i="47"/>
  <c r="B127" i="47" s="1"/>
  <c r="A128" i="47"/>
  <c r="B128" i="47" s="1"/>
  <c r="A129" i="47"/>
  <c r="B129" i="47" s="1"/>
  <c r="A130" i="47"/>
  <c r="B130" i="47" s="1"/>
  <c r="A131" i="47"/>
  <c r="B131" i="47" s="1"/>
  <c r="A132" i="47"/>
  <c r="B132" i="47" s="1"/>
  <c r="A133" i="47"/>
  <c r="B133" i="47" s="1"/>
  <c r="A134" i="47"/>
  <c r="B134" i="47" s="1"/>
  <c r="A135" i="47"/>
  <c r="B135" i="47" s="1"/>
  <c r="A136" i="47"/>
  <c r="B136" i="47" s="1"/>
  <c r="A137" i="47"/>
  <c r="B137" i="47" s="1"/>
  <c r="A138" i="47"/>
  <c r="B138" i="47" s="1"/>
  <c r="A139" i="47"/>
  <c r="B139" i="47" s="1"/>
  <c r="A140" i="47"/>
  <c r="B140" i="47" s="1"/>
  <c r="A141" i="47"/>
  <c r="B141" i="47" s="1"/>
  <c r="A142" i="47"/>
  <c r="B142" i="47" s="1"/>
  <c r="A143" i="47"/>
  <c r="B143" i="47" s="1"/>
  <c r="A144" i="47"/>
  <c r="B144" i="47" s="1"/>
  <c r="A145" i="47"/>
  <c r="B145" i="47" s="1"/>
  <c r="A146" i="47"/>
  <c r="B146" i="47" s="1"/>
  <c r="A147" i="47"/>
  <c r="B147" i="47" s="1"/>
  <c r="A148" i="47"/>
  <c r="B148" i="47" s="1"/>
  <c r="A149" i="47"/>
  <c r="B149" i="47" s="1"/>
  <c r="A150" i="47"/>
  <c r="B150" i="47" s="1"/>
  <c r="A151" i="47"/>
  <c r="B151" i="47" s="1"/>
  <c r="A152" i="47"/>
  <c r="B152" i="47" s="1"/>
  <c r="A153" i="47"/>
  <c r="B153" i="47" s="1"/>
  <c r="A154" i="47"/>
  <c r="B154" i="47" s="1"/>
  <c r="A155" i="47"/>
  <c r="B155" i="47" s="1"/>
  <c r="A156" i="47"/>
  <c r="B156" i="47" s="1"/>
  <c r="A157" i="47"/>
  <c r="B157" i="47" s="1"/>
  <c r="A158" i="47"/>
  <c r="B158" i="47" s="1"/>
  <c r="A159" i="47"/>
  <c r="B159" i="47" s="1"/>
  <c r="A160" i="47"/>
  <c r="B160" i="47" s="1"/>
  <c r="A161" i="47"/>
  <c r="B161" i="47" s="1"/>
  <c r="A162" i="47"/>
  <c r="B162" i="47" s="1"/>
  <c r="A163" i="47"/>
  <c r="B163" i="47" s="1"/>
  <c r="A164" i="47"/>
  <c r="B164" i="47" s="1"/>
  <c r="A165" i="47"/>
  <c r="B165" i="47" s="1"/>
  <c r="A166" i="47"/>
  <c r="B166" i="47" s="1"/>
  <c r="A167" i="47"/>
  <c r="B167" i="47" s="1"/>
  <c r="A168" i="47"/>
  <c r="B168" i="47" s="1"/>
  <c r="A169" i="47"/>
  <c r="B169" i="47" s="1"/>
  <c r="A170" i="47"/>
  <c r="B170" i="47" s="1"/>
  <c r="A171" i="47"/>
  <c r="B171" i="47" s="1"/>
  <c r="A172" i="47"/>
  <c r="B172" i="47" s="1"/>
  <c r="A173" i="47"/>
  <c r="B173" i="47" s="1"/>
  <c r="A174" i="47"/>
  <c r="B174" i="47" s="1"/>
  <c r="A175" i="47"/>
  <c r="B175" i="47" s="1"/>
  <c r="A176" i="47"/>
  <c r="B176" i="47" s="1"/>
  <c r="A177" i="47"/>
  <c r="B177" i="47" s="1"/>
  <c r="A178" i="47"/>
  <c r="B178" i="47" s="1"/>
  <c r="A179" i="47"/>
  <c r="B179" i="47" s="1"/>
  <c r="A180" i="47"/>
  <c r="B180" i="47" s="1"/>
  <c r="A181" i="47"/>
  <c r="B181" i="47" s="1"/>
  <c r="A182" i="47"/>
  <c r="B182" i="47" s="1"/>
  <c r="A183" i="47"/>
  <c r="B183" i="47" s="1"/>
  <c r="A184" i="47"/>
  <c r="B184" i="47" s="1"/>
  <c r="A185" i="47"/>
  <c r="B185" i="47" s="1"/>
  <c r="A186" i="47"/>
  <c r="B186" i="47" s="1"/>
  <c r="A187" i="47"/>
  <c r="B187" i="47" s="1"/>
  <c r="A188" i="47"/>
  <c r="B188" i="47" s="1"/>
  <c r="A189" i="47"/>
  <c r="B189" i="47" s="1"/>
  <c r="A190" i="47"/>
  <c r="B190" i="47" s="1"/>
  <c r="A191" i="47"/>
  <c r="B191" i="47" s="1"/>
  <c r="A192" i="47"/>
  <c r="B192" i="47" s="1"/>
  <c r="A193" i="47"/>
  <c r="B193" i="47" s="1"/>
  <c r="A194" i="47"/>
  <c r="B194" i="47" s="1"/>
  <c r="A195" i="47"/>
  <c r="B195" i="47" s="1"/>
  <c r="A196" i="47"/>
  <c r="B196" i="47" s="1"/>
  <c r="A197" i="47"/>
  <c r="B197" i="47" s="1"/>
  <c r="A198" i="47"/>
  <c r="B198" i="47" s="1"/>
  <c r="A199" i="47"/>
  <c r="B199" i="47" s="1"/>
  <c r="A200" i="47"/>
  <c r="B200" i="47" s="1"/>
  <c r="A201" i="47"/>
  <c r="B201" i="47" s="1"/>
  <c r="A202" i="47"/>
  <c r="B202" i="47" s="1"/>
  <c r="A203" i="47"/>
  <c r="B203" i="47" s="1"/>
  <c r="A204" i="47"/>
  <c r="B204" i="47" s="1"/>
  <c r="A205" i="47"/>
  <c r="B205" i="47" s="1"/>
  <c r="A206" i="47"/>
  <c r="B206" i="47" s="1"/>
  <c r="A207" i="47"/>
  <c r="B207" i="47" s="1"/>
  <c r="A208" i="47"/>
  <c r="B208" i="47" s="1"/>
  <c r="A209" i="47"/>
  <c r="B209" i="47" s="1"/>
  <c r="A210" i="47"/>
  <c r="B210" i="47" s="1"/>
  <c r="A211" i="47"/>
  <c r="B211" i="47" s="1"/>
  <c r="A212" i="47"/>
  <c r="B212" i="47" s="1"/>
  <c r="A213" i="47"/>
  <c r="B213" i="47" s="1"/>
  <c r="A214" i="47"/>
  <c r="B214" i="47" s="1"/>
  <c r="A215" i="47"/>
  <c r="B215" i="47" s="1"/>
  <c r="A216" i="47"/>
  <c r="B216" i="47" s="1"/>
  <c r="A217" i="47"/>
  <c r="B217" i="47" s="1"/>
  <c r="A218" i="47"/>
  <c r="B218" i="47" s="1"/>
  <c r="A219" i="47"/>
  <c r="B219" i="47" s="1"/>
  <c r="A220" i="47"/>
  <c r="B220" i="47" s="1"/>
  <c r="A221" i="47"/>
  <c r="B221" i="47" s="1"/>
  <c r="A222" i="47"/>
  <c r="B222" i="47" s="1"/>
  <c r="A223" i="47"/>
  <c r="B223" i="47" s="1"/>
  <c r="A224" i="47"/>
  <c r="B224" i="47" s="1"/>
  <c r="A225" i="47"/>
  <c r="B225" i="47" s="1"/>
  <c r="A226" i="47"/>
  <c r="B226" i="47" s="1"/>
  <c r="A227" i="47"/>
  <c r="B227" i="47" s="1"/>
  <c r="A228" i="47"/>
  <c r="B228" i="47" s="1"/>
  <c r="A229" i="47"/>
  <c r="B229" i="47" s="1"/>
  <c r="A230" i="47"/>
  <c r="B230" i="47" s="1"/>
  <c r="A231" i="47"/>
  <c r="B231" i="47" s="1"/>
  <c r="A232" i="47"/>
  <c r="B232" i="47" s="1"/>
  <c r="A233" i="47"/>
  <c r="B233" i="47" s="1"/>
  <c r="A234" i="47"/>
  <c r="B234" i="47" s="1"/>
  <c r="A235" i="47"/>
  <c r="B235" i="47" s="1"/>
  <c r="A236" i="47"/>
  <c r="B236" i="47" s="1"/>
  <c r="A237" i="47"/>
  <c r="B237" i="47" s="1"/>
  <c r="A238" i="47"/>
  <c r="B238" i="47" s="1"/>
  <c r="A239" i="47"/>
  <c r="B239" i="47" s="1"/>
  <c r="A240" i="47"/>
  <c r="B240" i="47" s="1"/>
  <c r="A241" i="47"/>
  <c r="B241" i="47" s="1"/>
  <c r="A242" i="47"/>
  <c r="B242" i="47" s="1"/>
  <c r="A243" i="47"/>
  <c r="B243" i="47" s="1"/>
  <c r="A244" i="47"/>
  <c r="B244" i="47" s="1"/>
  <c r="A245" i="47"/>
  <c r="B245" i="47" s="1"/>
  <c r="A246" i="47"/>
  <c r="B246" i="47" s="1"/>
  <c r="A247" i="47"/>
  <c r="B247" i="47" s="1"/>
  <c r="A248" i="47"/>
  <c r="B248" i="47" s="1"/>
  <c r="A249" i="47"/>
  <c r="B249" i="47" s="1"/>
  <c r="A250" i="47"/>
  <c r="B250" i="47" s="1"/>
  <c r="A251" i="47"/>
  <c r="B251" i="47" s="1"/>
  <c r="A252" i="47"/>
  <c r="B252" i="47" s="1"/>
  <c r="A253" i="47"/>
  <c r="B253" i="47" s="1"/>
  <c r="A254" i="47"/>
  <c r="B254" i="47" s="1"/>
  <c r="A255" i="47"/>
  <c r="B255" i="47" s="1"/>
  <c r="A256" i="47"/>
  <c r="B256" i="47" s="1"/>
  <c r="A257" i="47"/>
  <c r="B257" i="47" s="1"/>
  <c r="A258" i="47"/>
  <c r="B258" i="47" s="1"/>
  <c r="A259" i="47"/>
  <c r="B259" i="47" s="1"/>
  <c r="A260" i="47"/>
  <c r="B260" i="47" s="1"/>
  <c r="A261" i="47"/>
  <c r="B261" i="47" s="1"/>
  <c r="A262" i="47"/>
  <c r="B262" i="47" s="1"/>
  <c r="A263" i="47"/>
  <c r="B263" i="47" s="1"/>
  <c r="A264" i="47"/>
  <c r="B264" i="47" s="1"/>
  <c r="A265" i="47"/>
  <c r="B265" i="47" s="1"/>
  <c r="A266" i="47"/>
  <c r="B266" i="47" s="1"/>
  <c r="A267" i="47"/>
  <c r="B267" i="47" s="1"/>
  <c r="A268" i="47"/>
  <c r="B268" i="47" s="1"/>
  <c r="A269" i="47"/>
  <c r="B269" i="47" s="1"/>
  <c r="A270" i="47"/>
  <c r="B270" i="47" s="1"/>
  <c r="A271" i="47"/>
  <c r="B271" i="47" s="1"/>
  <c r="A272" i="47"/>
  <c r="B272" i="47" s="1"/>
  <c r="A273" i="47"/>
  <c r="B273" i="47" s="1"/>
  <c r="A274" i="47"/>
  <c r="B274" i="47" s="1"/>
  <c r="A275" i="47"/>
  <c r="B275" i="47" s="1"/>
  <c r="A276" i="47"/>
  <c r="B276" i="47" s="1"/>
  <c r="A277" i="47"/>
  <c r="B277" i="47" s="1"/>
  <c r="A278" i="47"/>
  <c r="B278" i="47" s="1"/>
  <c r="A279" i="47"/>
  <c r="B279" i="47" s="1"/>
  <c r="A280" i="47"/>
  <c r="B280" i="47" s="1"/>
  <c r="A281" i="47"/>
  <c r="B281" i="47" s="1"/>
  <c r="A282" i="47"/>
  <c r="B282" i="47" s="1"/>
  <c r="A283" i="47"/>
  <c r="B283" i="47" s="1"/>
  <c r="A284" i="47"/>
  <c r="B284" i="47" s="1"/>
  <c r="A285" i="47"/>
  <c r="B285" i="47" s="1"/>
  <c r="A286" i="47"/>
  <c r="B286" i="47" s="1"/>
  <c r="A287" i="47"/>
  <c r="B287" i="47" s="1"/>
  <c r="A288" i="47"/>
  <c r="B288" i="47" s="1"/>
  <c r="A289" i="47"/>
  <c r="B289" i="47" s="1"/>
  <c r="A290" i="47"/>
  <c r="B290" i="47" s="1"/>
  <c r="A291" i="47"/>
  <c r="B291" i="47" s="1"/>
  <c r="A292" i="47"/>
  <c r="B292" i="47" s="1"/>
  <c r="A293" i="47"/>
  <c r="B293" i="47" s="1"/>
  <c r="A294" i="47"/>
  <c r="B294" i="47" s="1"/>
  <c r="A295" i="47"/>
  <c r="B295" i="47" s="1"/>
  <c r="A296" i="47"/>
  <c r="B296" i="47" s="1"/>
  <c r="A297" i="47"/>
  <c r="B297" i="47" s="1"/>
  <c r="A298" i="47"/>
  <c r="B298" i="47" s="1"/>
  <c r="A299" i="47"/>
  <c r="B299" i="47" s="1"/>
  <c r="A300" i="47"/>
  <c r="B300" i="47" s="1"/>
  <c r="A301" i="47"/>
  <c r="B301" i="47" s="1"/>
  <c r="A302" i="47"/>
  <c r="B302" i="47" s="1"/>
  <c r="A303" i="47"/>
  <c r="B303" i="47" s="1"/>
  <c r="A304" i="47"/>
  <c r="B304" i="47" s="1"/>
  <c r="A305" i="47"/>
  <c r="B305" i="47" s="1"/>
  <c r="A306" i="47"/>
  <c r="B306" i="47" s="1"/>
  <c r="A307" i="47"/>
  <c r="B307" i="47" s="1"/>
  <c r="A308" i="47"/>
  <c r="B308" i="47" s="1"/>
  <c r="A309" i="47"/>
  <c r="B309" i="47" s="1"/>
  <c r="A310" i="47"/>
  <c r="B310" i="47" s="1"/>
  <c r="A311" i="47"/>
  <c r="B311" i="47" s="1"/>
  <c r="A312" i="47"/>
  <c r="B312" i="47" s="1"/>
  <c r="A313" i="47"/>
  <c r="B313" i="47" s="1"/>
  <c r="A314" i="47"/>
  <c r="B314" i="47" s="1"/>
  <c r="A315" i="47"/>
  <c r="B315" i="47" s="1"/>
  <c r="A316" i="47"/>
  <c r="B316" i="47" s="1"/>
  <c r="A317" i="47"/>
  <c r="B317" i="47" s="1"/>
  <c r="A318" i="47"/>
  <c r="B318" i="47" s="1"/>
  <c r="A319" i="47"/>
  <c r="B319" i="47" s="1"/>
  <c r="A320" i="47"/>
  <c r="B320" i="47" s="1"/>
  <c r="A321" i="47"/>
  <c r="B321" i="47" s="1"/>
  <c r="A322" i="47"/>
  <c r="B322" i="47" s="1"/>
  <c r="A323" i="47"/>
  <c r="B323" i="47" s="1"/>
  <c r="A324" i="47"/>
  <c r="B324" i="47" s="1"/>
  <c r="A325" i="47"/>
  <c r="B325" i="47" s="1"/>
  <c r="A326" i="47"/>
  <c r="B326" i="47" s="1"/>
  <c r="A327" i="47"/>
  <c r="B327" i="47" s="1"/>
  <c r="A328" i="47"/>
  <c r="B328" i="47" s="1"/>
  <c r="A329" i="47"/>
  <c r="B329" i="47" s="1"/>
  <c r="A330" i="47"/>
  <c r="B330" i="47" s="1"/>
  <c r="A331" i="47"/>
  <c r="B331" i="47" s="1"/>
  <c r="A332" i="47"/>
  <c r="B332" i="47" s="1"/>
  <c r="A333" i="47"/>
  <c r="B333" i="47" s="1"/>
  <c r="A334" i="47"/>
  <c r="B334" i="47" s="1"/>
  <c r="A335" i="47"/>
  <c r="B335" i="47" s="1"/>
  <c r="A336" i="47"/>
  <c r="B336" i="47" s="1"/>
  <c r="A337" i="47"/>
  <c r="B337" i="47" s="1"/>
  <c r="A338" i="47"/>
  <c r="B338" i="47" s="1"/>
  <c r="A339" i="47"/>
  <c r="B339" i="47" s="1"/>
  <c r="A340" i="47"/>
  <c r="B340" i="47" s="1"/>
  <c r="A341" i="47"/>
  <c r="B341" i="47" s="1"/>
  <c r="A342" i="47"/>
  <c r="B342" i="47" s="1"/>
  <c r="A343" i="47"/>
  <c r="B343" i="47" s="1"/>
  <c r="A344" i="47"/>
  <c r="B344" i="47" s="1"/>
  <c r="A345" i="47"/>
  <c r="B345" i="47" s="1"/>
  <c r="A346" i="47"/>
  <c r="B346" i="47" s="1"/>
  <c r="A347" i="47"/>
  <c r="B347" i="47" s="1"/>
  <c r="A348" i="47"/>
  <c r="B348" i="47" s="1"/>
  <c r="A349" i="47"/>
  <c r="B349" i="47" s="1"/>
  <c r="A350" i="47"/>
  <c r="B350" i="47" s="1"/>
  <c r="A351" i="47"/>
  <c r="B351" i="47" s="1"/>
  <c r="A352" i="47"/>
  <c r="B352" i="47" s="1"/>
  <c r="A353" i="47"/>
  <c r="B353" i="47" s="1"/>
  <c r="A354" i="47"/>
  <c r="B354" i="47" s="1"/>
  <c r="A355" i="47"/>
  <c r="B355" i="47" s="1"/>
  <c r="A356" i="47"/>
  <c r="B356" i="47" s="1"/>
  <c r="A357" i="47"/>
  <c r="B357" i="47" s="1"/>
  <c r="A358" i="47"/>
  <c r="B358" i="47" s="1"/>
  <c r="A359" i="47"/>
  <c r="B359" i="47" s="1"/>
  <c r="A360" i="47"/>
  <c r="B360" i="47" s="1"/>
  <c r="A361" i="47"/>
  <c r="B361" i="47" s="1"/>
  <c r="A362" i="47"/>
  <c r="B362" i="47" s="1"/>
  <c r="A363" i="47"/>
  <c r="B363" i="47" s="1"/>
  <c r="A364" i="47"/>
  <c r="B364" i="47" s="1"/>
  <c r="A365" i="47"/>
  <c r="B365" i="47" s="1"/>
  <c r="A366" i="47"/>
  <c r="B366" i="47" s="1"/>
  <c r="A367" i="47"/>
  <c r="B367" i="47" s="1"/>
  <c r="A368" i="47"/>
  <c r="B368" i="47" s="1"/>
  <c r="A369" i="47"/>
  <c r="B369" i="47" s="1"/>
  <c r="A370" i="47"/>
  <c r="B370" i="47" s="1"/>
  <c r="A371" i="47"/>
  <c r="B371" i="47" s="1"/>
  <c r="A372" i="47"/>
  <c r="B372" i="47" s="1"/>
  <c r="A373" i="47"/>
  <c r="B373" i="47" s="1"/>
  <c r="A374" i="47"/>
  <c r="B374" i="47" s="1"/>
  <c r="A375" i="47"/>
  <c r="B375" i="47" s="1"/>
  <c r="A376" i="47"/>
  <c r="B376" i="47" s="1"/>
  <c r="A377" i="47"/>
  <c r="B377" i="47" s="1"/>
  <c r="A378" i="47"/>
  <c r="B378" i="47" s="1"/>
  <c r="A379" i="47"/>
  <c r="B379" i="47" s="1"/>
  <c r="A380" i="47"/>
  <c r="B380" i="47" s="1"/>
  <c r="A381" i="47"/>
  <c r="B381" i="47" s="1"/>
  <c r="A382" i="47"/>
  <c r="B382" i="47" s="1"/>
  <c r="A383" i="47"/>
  <c r="B383" i="47" s="1"/>
  <c r="A384" i="47"/>
  <c r="B384" i="47" s="1"/>
  <c r="A385" i="47"/>
  <c r="B385" i="47" s="1"/>
  <c r="A386" i="47"/>
  <c r="B386" i="47" s="1"/>
  <c r="A387" i="47"/>
  <c r="B387" i="47" s="1"/>
  <c r="A388" i="47"/>
  <c r="B388" i="47" s="1"/>
  <c r="A389" i="47"/>
  <c r="B389" i="47" s="1"/>
  <c r="A390" i="47"/>
  <c r="B390" i="47" s="1"/>
  <c r="A391" i="47"/>
  <c r="B391" i="47" s="1"/>
  <c r="A392" i="47"/>
  <c r="B392" i="47" s="1"/>
  <c r="A393" i="47"/>
  <c r="B393" i="47" s="1"/>
  <c r="A394" i="47"/>
  <c r="B394" i="47" s="1"/>
  <c r="A395" i="47"/>
  <c r="B395" i="47" s="1"/>
  <c r="A396" i="47"/>
  <c r="B396" i="47" s="1"/>
  <c r="A397" i="47"/>
  <c r="B397" i="47" s="1"/>
  <c r="A398" i="47"/>
  <c r="B398" i="47" s="1"/>
  <c r="A399" i="47"/>
  <c r="B399" i="47" s="1"/>
  <c r="A400" i="47"/>
  <c r="B400" i="47" s="1"/>
  <c r="A401" i="47"/>
  <c r="B401" i="47" s="1"/>
  <c r="A402" i="47"/>
  <c r="B402" i="47" s="1"/>
  <c r="A403" i="47"/>
  <c r="B403" i="47" s="1"/>
  <c r="A404" i="47"/>
  <c r="B404" i="47" s="1"/>
  <c r="A405" i="47"/>
  <c r="B405" i="47" s="1"/>
  <c r="A406" i="47"/>
  <c r="B406" i="47" s="1"/>
  <c r="A407" i="47"/>
  <c r="B407" i="47" s="1"/>
  <c r="A408" i="47"/>
  <c r="B408" i="47" s="1"/>
  <c r="A409" i="47"/>
  <c r="B409" i="47" s="1"/>
  <c r="A410" i="47"/>
  <c r="B410" i="47" s="1"/>
  <c r="A411" i="47"/>
  <c r="B411" i="47" s="1"/>
  <c r="A412" i="47"/>
  <c r="B412" i="47" s="1"/>
  <c r="A413" i="47"/>
  <c r="B413" i="47" s="1"/>
  <c r="A414" i="47"/>
  <c r="B414" i="47" s="1"/>
  <c r="A415" i="47"/>
  <c r="B415" i="47" s="1"/>
  <c r="A416" i="47"/>
  <c r="B416" i="47" s="1"/>
  <c r="A417" i="47"/>
  <c r="B417" i="47" s="1"/>
  <c r="A418" i="47"/>
  <c r="B418" i="47" s="1"/>
  <c r="A419" i="47"/>
  <c r="B419" i="47" s="1"/>
  <c r="A420" i="47"/>
  <c r="B420" i="47" s="1"/>
  <c r="A421" i="47"/>
  <c r="B421" i="47" s="1"/>
  <c r="A422" i="47"/>
  <c r="B422" i="47" s="1"/>
  <c r="A423" i="47"/>
  <c r="B423" i="47" s="1"/>
  <c r="A424" i="47"/>
  <c r="B424" i="47" s="1"/>
  <c r="A425" i="47"/>
  <c r="B425" i="47" s="1"/>
  <c r="A426" i="47"/>
  <c r="B426" i="47" s="1"/>
  <c r="A427" i="47"/>
  <c r="B427" i="47" s="1"/>
  <c r="A428" i="47"/>
  <c r="B428" i="47" s="1"/>
  <c r="A429" i="47"/>
  <c r="B429" i="47" s="1"/>
  <c r="A430" i="47"/>
  <c r="B430" i="47" s="1"/>
  <c r="A431" i="47"/>
  <c r="B431" i="47" s="1"/>
  <c r="A432" i="47"/>
  <c r="B432" i="47" s="1"/>
  <c r="A433" i="47"/>
  <c r="B433" i="47" s="1"/>
  <c r="A434" i="47"/>
  <c r="B434" i="47" s="1"/>
  <c r="A435" i="47"/>
  <c r="B435" i="47" s="1"/>
  <c r="A436" i="47"/>
  <c r="B436" i="47" s="1"/>
  <c r="A437" i="47"/>
  <c r="B437" i="47" s="1"/>
  <c r="A438" i="47"/>
  <c r="B438" i="47" s="1"/>
  <c r="A439" i="47"/>
  <c r="B439" i="47" s="1"/>
  <c r="A440" i="47"/>
  <c r="B440" i="47" s="1"/>
  <c r="A441" i="47"/>
  <c r="B441" i="47" s="1"/>
  <c r="A442" i="47"/>
  <c r="B442" i="47" s="1"/>
  <c r="A443" i="47"/>
  <c r="B443" i="47" s="1"/>
  <c r="A444" i="47"/>
  <c r="B444" i="47" s="1"/>
  <c r="A445" i="47"/>
  <c r="B445" i="47" s="1"/>
  <c r="A446" i="47"/>
  <c r="B446" i="47" s="1"/>
  <c r="A447" i="47"/>
  <c r="B447" i="47" s="1"/>
  <c r="A448" i="47"/>
  <c r="B448" i="47" s="1"/>
  <c r="A449" i="47"/>
  <c r="B449" i="47" s="1"/>
  <c r="A450" i="47"/>
  <c r="B450" i="47" s="1"/>
  <c r="A451" i="47"/>
  <c r="B451" i="47" s="1"/>
  <c r="A452" i="47"/>
  <c r="B452" i="47" s="1"/>
  <c r="A453" i="47"/>
  <c r="B453" i="47" s="1"/>
  <c r="A454" i="47"/>
  <c r="B454" i="47" s="1"/>
  <c r="A455" i="47"/>
  <c r="B455" i="47" s="1"/>
  <c r="A456" i="47"/>
  <c r="B456" i="47" s="1"/>
  <c r="A457" i="47"/>
  <c r="B457" i="47" s="1"/>
  <c r="A458" i="47"/>
  <c r="B458" i="47" s="1"/>
  <c r="A459" i="47"/>
  <c r="B459" i="47" s="1"/>
  <c r="A460" i="47"/>
  <c r="B460" i="47" s="1"/>
  <c r="A461" i="47"/>
  <c r="B461" i="47" s="1"/>
  <c r="A462" i="47"/>
  <c r="B462" i="47" s="1"/>
  <c r="A463" i="47"/>
  <c r="B463" i="47" s="1"/>
  <c r="A464" i="47"/>
  <c r="B464" i="47" s="1"/>
  <c r="A465" i="47"/>
  <c r="B465" i="47" s="1"/>
  <c r="A466" i="47"/>
  <c r="B466" i="47" s="1"/>
  <c r="A467" i="47"/>
  <c r="B467" i="47" s="1"/>
  <c r="A468" i="47"/>
  <c r="B468" i="47" s="1"/>
  <c r="A469" i="47"/>
  <c r="B469" i="47" s="1"/>
  <c r="A470" i="47"/>
  <c r="B470" i="47" s="1"/>
  <c r="A471" i="47"/>
  <c r="B471" i="47" s="1"/>
  <c r="A472" i="47"/>
  <c r="B472" i="47" s="1"/>
  <c r="A473" i="47"/>
  <c r="B473" i="47" s="1"/>
  <c r="A474" i="47"/>
  <c r="B474" i="47" s="1"/>
  <c r="A475" i="47"/>
  <c r="B475" i="47" s="1"/>
  <c r="A476" i="47"/>
  <c r="B476" i="47" s="1"/>
  <c r="A477" i="47"/>
  <c r="B477" i="47" s="1"/>
  <c r="A478" i="47"/>
  <c r="B478" i="47" s="1"/>
  <c r="A479" i="47"/>
  <c r="B479" i="47" s="1"/>
  <c r="A480" i="47"/>
  <c r="B480" i="47" s="1"/>
  <c r="A481" i="47"/>
  <c r="B481" i="47" s="1"/>
  <c r="A482" i="47"/>
  <c r="B482" i="47" s="1"/>
  <c r="A483" i="47"/>
  <c r="B483" i="47" s="1"/>
  <c r="A484" i="47"/>
  <c r="B484" i="47" s="1"/>
  <c r="A485" i="47"/>
  <c r="B485" i="47" s="1"/>
  <c r="A486" i="47"/>
  <c r="B486" i="47" s="1"/>
  <c r="A487" i="47"/>
  <c r="B487" i="47" s="1"/>
  <c r="A488" i="47"/>
  <c r="B488" i="47" s="1"/>
  <c r="A489" i="47"/>
  <c r="B489" i="47" s="1"/>
  <c r="A490" i="47"/>
  <c r="B490" i="47" s="1"/>
  <c r="A491" i="47"/>
  <c r="B491" i="47" s="1"/>
  <c r="A492" i="47"/>
  <c r="B492" i="47" s="1"/>
  <c r="A493" i="47"/>
  <c r="B493" i="47" s="1"/>
  <c r="A494" i="47"/>
  <c r="B494" i="47" s="1"/>
  <c r="A495" i="47"/>
  <c r="B495" i="47" s="1"/>
  <c r="A496" i="47"/>
  <c r="B496" i="47" s="1"/>
  <c r="A497" i="47"/>
  <c r="B497" i="47" s="1"/>
  <c r="A498" i="47"/>
  <c r="B498" i="47" s="1"/>
  <c r="A499" i="47"/>
  <c r="B499" i="47" s="1"/>
  <c r="A500" i="47"/>
  <c r="B500" i="47" s="1"/>
  <c r="A501" i="47"/>
  <c r="B501" i="47" s="1"/>
  <c r="A502" i="47"/>
  <c r="B502" i="47" s="1"/>
  <c r="A503" i="47"/>
  <c r="B503" i="47" s="1"/>
  <c r="A504" i="47"/>
  <c r="B504" i="47" s="1"/>
  <c r="A505" i="47"/>
  <c r="B505" i="47" s="1"/>
  <c r="A506" i="47"/>
  <c r="B506" i="47" s="1"/>
  <c r="A507" i="47"/>
  <c r="B507" i="47" s="1"/>
  <c r="A508" i="47"/>
  <c r="B508" i="47" s="1"/>
  <c r="A509" i="47"/>
  <c r="B509" i="47" s="1"/>
  <c r="A510" i="47"/>
  <c r="B510" i="47" s="1"/>
  <c r="A511" i="47"/>
  <c r="B511" i="47" s="1"/>
  <c r="A512" i="47"/>
  <c r="B512" i="47" s="1"/>
  <c r="A513" i="47"/>
  <c r="B513" i="47" s="1"/>
  <c r="A514" i="47"/>
  <c r="B514" i="47" s="1"/>
  <c r="A515" i="47"/>
  <c r="B515" i="47" s="1"/>
  <c r="A516" i="47"/>
  <c r="B516" i="47" s="1"/>
  <c r="A517" i="47"/>
  <c r="B517" i="47" s="1"/>
  <c r="A518" i="47"/>
  <c r="B518" i="47" s="1"/>
  <c r="A519" i="47"/>
  <c r="B519" i="47" s="1"/>
  <c r="A520" i="47"/>
  <c r="B520" i="47" s="1"/>
  <c r="A521" i="47"/>
  <c r="B521" i="47" s="1"/>
  <c r="A522" i="47"/>
  <c r="B522" i="47" s="1"/>
  <c r="A523" i="47"/>
  <c r="B523" i="47" s="1"/>
  <c r="A524" i="47"/>
  <c r="B524" i="47" s="1"/>
  <c r="A525" i="47"/>
  <c r="B525" i="47" s="1"/>
  <c r="A526" i="47"/>
  <c r="B526" i="47" s="1"/>
  <c r="A527" i="47"/>
  <c r="B527" i="47" s="1"/>
  <c r="A528" i="47"/>
  <c r="B528" i="47" s="1"/>
  <c r="A529" i="47"/>
  <c r="B529" i="47" s="1"/>
  <c r="A530" i="47"/>
  <c r="B530" i="47" s="1"/>
  <c r="A531" i="47"/>
  <c r="B531" i="47" s="1"/>
  <c r="A532" i="47"/>
  <c r="B532" i="47" s="1"/>
  <c r="A533" i="47"/>
  <c r="B533" i="47" s="1"/>
  <c r="A534" i="47"/>
  <c r="B534" i="47" s="1"/>
  <c r="A535" i="47"/>
  <c r="B535" i="47" s="1"/>
  <c r="A536" i="47"/>
  <c r="B536" i="47" s="1"/>
  <c r="A537" i="47"/>
  <c r="B537" i="47" s="1"/>
  <c r="A538" i="47"/>
  <c r="B538" i="47" s="1"/>
  <c r="A539" i="47"/>
  <c r="B539" i="47" s="1"/>
  <c r="A540" i="47"/>
  <c r="B540" i="47" s="1"/>
  <c r="A541" i="47"/>
  <c r="B541" i="47" s="1"/>
  <c r="A542" i="47"/>
  <c r="B542" i="47" s="1"/>
  <c r="A543" i="47"/>
  <c r="B543" i="47" s="1"/>
  <c r="A544" i="47"/>
  <c r="B544" i="47" s="1"/>
  <c r="A545" i="47"/>
  <c r="B545" i="47" s="1"/>
  <c r="A546" i="47"/>
  <c r="B546" i="47" s="1"/>
  <c r="A547" i="47"/>
  <c r="B547" i="47" s="1"/>
  <c r="A548" i="47"/>
  <c r="B548" i="47" s="1"/>
  <c r="A549" i="47"/>
  <c r="B549" i="47" s="1"/>
  <c r="A550" i="47"/>
  <c r="B550" i="47" s="1"/>
  <c r="A551" i="47"/>
  <c r="B551" i="47" s="1"/>
  <c r="A552" i="47"/>
  <c r="B552" i="47" s="1"/>
  <c r="A553" i="47"/>
  <c r="B553" i="47" s="1"/>
  <c r="A554" i="47"/>
  <c r="B554" i="47" s="1"/>
  <c r="A555" i="47"/>
  <c r="B555" i="47" s="1"/>
  <c r="A556" i="47"/>
  <c r="B556" i="47" s="1"/>
  <c r="A557" i="47"/>
  <c r="B557" i="47" s="1"/>
  <c r="A558" i="47"/>
  <c r="B558" i="47" s="1"/>
  <c r="A559" i="47"/>
  <c r="B559" i="47" s="1"/>
  <c r="A560" i="47"/>
  <c r="B560" i="47" s="1"/>
  <c r="A561" i="47"/>
  <c r="B561" i="47" s="1"/>
  <c r="A562" i="47"/>
  <c r="B562" i="47" s="1"/>
  <c r="A563" i="47"/>
  <c r="B563" i="47" s="1"/>
  <c r="A564" i="47"/>
  <c r="B564" i="47" s="1"/>
  <c r="A565" i="47"/>
  <c r="B565" i="47" s="1"/>
  <c r="A566" i="47"/>
  <c r="B566" i="47" s="1"/>
  <c r="A567" i="47"/>
  <c r="B567" i="47" s="1"/>
  <c r="A568" i="47"/>
  <c r="B568" i="47" s="1"/>
  <c r="A569" i="47"/>
  <c r="B569" i="47" s="1"/>
  <c r="A570" i="47"/>
  <c r="B570" i="47" s="1"/>
  <c r="A571" i="47"/>
  <c r="B571" i="47" s="1"/>
  <c r="A572" i="47"/>
  <c r="B572" i="47" s="1"/>
  <c r="A573" i="47"/>
  <c r="B573" i="47" s="1"/>
  <c r="A574" i="47"/>
  <c r="B574" i="47" s="1"/>
  <c r="A575" i="47"/>
  <c r="B575" i="47" s="1"/>
  <c r="A576" i="47"/>
  <c r="B576" i="47" s="1"/>
  <c r="A577" i="47"/>
  <c r="B577" i="47" s="1"/>
  <c r="A578" i="47"/>
  <c r="B578" i="47" s="1"/>
  <c r="A579" i="47"/>
  <c r="B579" i="47" s="1"/>
  <c r="A580" i="47"/>
  <c r="B580" i="47" s="1"/>
  <c r="A581" i="47"/>
  <c r="B581" i="47" s="1"/>
  <c r="A582" i="47"/>
  <c r="B582" i="47" s="1"/>
  <c r="A583" i="47"/>
  <c r="B583" i="47" s="1"/>
  <c r="A584" i="47"/>
  <c r="B584" i="47" s="1"/>
  <c r="A585" i="47"/>
  <c r="B585" i="47" s="1"/>
  <c r="A586" i="47"/>
  <c r="B586" i="47" s="1"/>
  <c r="A587" i="47"/>
  <c r="B587" i="47" s="1"/>
  <c r="A588" i="47"/>
  <c r="B588" i="47" s="1"/>
  <c r="A589" i="47"/>
  <c r="B589" i="47" s="1"/>
  <c r="A590" i="47"/>
  <c r="B590" i="47" s="1"/>
  <c r="A591" i="47"/>
  <c r="B591" i="47" s="1"/>
  <c r="A592" i="47"/>
  <c r="B592" i="47" s="1"/>
  <c r="A593" i="47"/>
  <c r="B593" i="47" s="1"/>
  <c r="A594" i="47"/>
  <c r="B594" i="47" s="1"/>
  <c r="A595" i="47"/>
  <c r="B595" i="47" s="1"/>
  <c r="A596" i="47"/>
  <c r="B596" i="47" s="1"/>
  <c r="A597" i="47"/>
  <c r="B597" i="47" s="1"/>
  <c r="A598" i="47"/>
  <c r="B598" i="47" s="1"/>
  <c r="A599" i="47"/>
  <c r="B599" i="47" s="1"/>
  <c r="A600" i="47"/>
  <c r="B600" i="47" s="1"/>
  <c r="A601" i="47"/>
  <c r="B601" i="47" s="1"/>
  <c r="A602" i="47"/>
  <c r="B602" i="47" s="1"/>
  <c r="A603" i="47"/>
  <c r="B603" i="47" s="1"/>
  <c r="A604" i="47"/>
  <c r="B604" i="47" s="1"/>
  <c r="A605" i="47"/>
  <c r="B605" i="47" s="1"/>
  <c r="A606" i="47"/>
  <c r="B606" i="47" s="1"/>
  <c r="A607" i="47"/>
  <c r="B607" i="47" s="1"/>
  <c r="A608" i="47"/>
  <c r="B608" i="47" s="1"/>
  <c r="A609" i="47"/>
  <c r="B609" i="47" s="1"/>
  <c r="A610" i="47"/>
  <c r="B610" i="47" s="1"/>
  <c r="A611" i="47"/>
  <c r="B611" i="47" s="1"/>
  <c r="A612" i="47"/>
  <c r="B612" i="47" s="1"/>
  <c r="A613" i="47"/>
  <c r="B613" i="47" s="1"/>
  <c r="A614" i="47"/>
  <c r="B614" i="47" s="1"/>
  <c r="A615" i="47"/>
  <c r="B615" i="47" s="1"/>
  <c r="A616" i="47"/>
  <c r="B616" i="47" s="1"/>
  <c r="A617" i="47"/>
  <c r="B617" i="47" s="1"/>
  <c r="A618" i="47"/>
  <c r="B618" i="47" s="1"/>
  <c r="A619" i="47"/>
  <c r="B619" i="47" s="1"/>
  <c r="A620" i="47"/>
  <c r="B620" i="47" s="1"/>
  <c r="A621" i="47"/>
  <c r="B621" i="47" s="1"/>
  <c r="A622" i="47"/>
  <c r="B622" i="47" s="1"/>
  <c r="A623" i="47"/>
  <c r="B623" i="47" s="1"/>
  <c r="A624" i="47"/>
  <c r="B624" i="47" s="1"/>
  <c r="A625" i="47"/>
  <c r="B625" i="47" s="1"/>
  <c r="A626" i="47"/>
  <c r="B626" i="47" s="1"/>
  <c r="A627" i="47"/>
  <c r="B627" i="47" s="1"/>
  <c r="A628" i="47"/>
  <c r="B628" i="47" s="1"/>
  <c r="A629" i="47"/>
  <c r="B629" i="47" s="1"/>
  <c r="A630" i="47"/>
  <c r="B630" i="47" s="1"/>
  <c r="A631" i="47"/>
  <c r="B631" i="47" s="1"/>
  <c r="A632" i="47"/>
  <c r="B632" i="47" s="1"/>
  <c r="A633" i="47"/>
  <c r="B633" i="47" s="1"/>
  <c r="A634" i="47"/>
  <c r="B634" i="47" s="1"/>
  <c r="A635" i="47"/>
  <c r="B635" i="47" s="1"/>
  <c r="A636" i="47"/>
  <c r="B636" i="47" s="1"/>
  <c r="A637" i="47"/>
  <c r="B637" i="47" s="1"/>
  <c r="A638" i="47"/>
  <c r="B638" i="47" s="1"/>
  <c r="A639" i="47"/>
  <c r="B639" i="47" s="1"/>
  <c r="A640" i="47"/>
  <c r="B640" i="47" s="1"/>
  <c r="A641" i="47"/>
  <c r="B641" i="47" s="1"/>
  <c r="A642" i="47"/>
  <c r="B642" i="47" s="1"/>
  <c r="A643" i="47"/>
  <c r="B643" i="47" s="1"/>
  <c r="A644" i="47"/>
  <c r="B644" i="47" s="1"/>
  <c r="A645" i="47"/>
  <c r="B645" i="47" s="1"/>
  <c r="A646" i="47"/>
  <c r="B646" i="47" s="1"/>
  <c r="A647" i="47"/>
  <c r="B647" i="47" s="1"/>
  <c r="A648" i="47"/>
  <c r="B648" i="47" s="1"/>
  <c r="A649" i="47"/>
  <c r="B649" i="47" s="1"/>
  <c r="A650" i="47"/>
  <c r="B650" i="47" s="1"/>
  <c r="A651" i="47"/>
  <c r="B651" i="47" s="1"/>
  <c r="A652" i="47"/>
  <c r="B652" i="47" s="1"/>
  <c r="A653" i="47"/>
  <c r="B653" i="47" s="1"/>
  <c r="A654" i="47"/>
  <c r="B654" i="47" s="1"/>
  <c r="A655" i="47"/>
  <c r="B655" i="47" s="1"/>
  <c r="A656" i="47"/>
  <c r="B656" i="47" s="1"/>
  <c r="A657" i="47"/>
  <c r="B657" i="47" s="1"/>
  <c r="A658" i="47"/>
  <c r="B658" i="47" s="1"/>
  <c r="A659" i="47"/>
  <c r="B659" i="47" s="1"/>
  <c r="A660" i="47"/>
  <c r="B660" i="47" s="1"/>
  <c r="A661" i="47"/>
  <c r="B661" i="47" s="1"/>
  <c r="A662" i="47"/>
  <c r="B662" i="47" s="1"/>
  <c r="A663" i="47"/>
  <c r="B663" i="47" s="1"/>
  <c r="A664" i="47"/>
  <c r="B664" i="47" s="1"/>
  <c r="A665" i="47"/>
  <c r="B665" i="47" s="1"/>
  <c r="A666" i="47"/>
  <c r="B666" i="47" s="1"/>
  <c r="A667" i="47"/>
  <c r="B667" i="47" s="1"/>
  <c r="A668" i="47"/>
  <c r="B668" i="47" s="1"/>
  <c r="A669" i="47"/>
  <c r="B669" i="47" s="1"/>
  <c r="A670" i="47"/>
  <c r="B670" i="47" s="1"/>
  <c r="A671" i="47"/>
  <c r="B671" i="47" s="1"/>
  <c r="A672" i="47"/>
  <c r="B672" i="47" s="1"/>
  <c r="A673" i="47"/>
  <c r="B673" i="47" s="1"/>
  <c r="A674" i="47"/>
  <c r="B674" i="47" s="1"/>
  <c r="A675" i="47"/>
  <c r="B675" i="47" s="1"/>
  <c r="A676" i="47"/>
  <c r="B676" i="47" s="1"/>
  <c r="A677" i="47"/>
  <c r="B677" i="47" s="1"/>
  <c r="A678" i="47"/>
  <c r="B678" i="47" s="1"/>
  <c r="A679" i="47"/>
  <c r="B679" i="47" s="1"/>
  <c r="A680" i="47"/>
  <c r="B680" i="47" s="1"/>
  <c r="A681" i="47"/>
  <c r="B681" i="47" s="1"/>
  <c r="A682" i="47"/>
  <c r="B682" i="47" s="1"/>
  <c r="A683" i="47"/>
  <c r="B683" i="47" s="1"/>
  <c r="A684" i="47"/>
  <c r="B684" i="47" s="1"/>
  <c r="A685" i="47"/>
  <c r="B685" i="47" s="1"/>
  <c r="A686" i="47"/>
  <c r="B686" i="47" s="1"/>
  <c r="A687" i="47"/>
  <c r="B687" i="47" s="1"/>
  <c r="A688" i="47"/>
  <c r="B688" i="47" s="1"/>
  <c r="A689" i="47"/>
  <c r="B689" i="47" s="1"/>
  <c r="A690" i="47"/>
  <c r="B690" i="47" s="1"/>
  <c r="A691" i="47"/>
  <c r="B691" i="47" s="1"/>
  <c r="A692" i="47"/>
  <c r="B692" i="47" s="1"/>
  <c r="A693" i="47"/>
  <c r="B693" i="47" s="1"/>
  <c r="A694" i="47"/>
  <c r="B694" i="47" s="1"/>
  <c r="A695" i="47"/>
  <c r="B695" i="47" s="1"/>
  <c r="A696" i="47"/>
  <c r="B696" i="47" s="1"/>
  <c r="A697" i="47"/>
  <c r="B697" i="47" s="1"/>
  <c r="A698" i="47"/>
  <c r="B698" i="47" s="1"/>
  <c r="A699" i="47"/>
  <c r="B699" i="47" s="1"/>
  <c r="A700" i="47"/>
  <c r="B700" i="47" s="1"/>
  <c r="A701" i="47"/>
  <c r="B701" i="47" s="1"/>
  <c r="A702" i="47"/>
  <c r="B702" i="47" s="1"/>
  <c r="A703" i="47"/>
  <c r="B703" i="47" s="1"/>
  <c r="A704" i="47"/>
  <c r="B704" i="47" s="1"/>
  <c r="A705" i="47"/>
  <c r="B705" i="47" s="1"/>
  <c r="A706" i="47"/>
  <c r="B706" i="47" s="1"/>
  <c r="A707" i="47"/>
  <c r="B707" i="47" s="1"/>
  <c r="A708" i="47"/>
  <c r="B708" i="47" s="1"/>
  <c r="A709" i="47"/>
  <c r="B709" i="47" s="1"/>
  <c r="A710" i="47"/>
  <c r="B710" i="47" s="1"/>
  <c r="A711" i="47"/>
  <c r="B711" i="47" s="1"/>
  <c r="A712" i="47"/>
  <c r="B712" i="47" s="1"/>
  <c r="A713" i="47"/>
  <c r="B713" i="47" s="1"/>
  <c r="A714" i="47"/>
  <c r="B714" i="47" s="1"/>
  <c r="A715" i="47"/>
  <c r="B715" i="47" s="1"/>
  <c r="A716" i="47"/>
  <c r="B716" i="47" s="1"/>
  <c r="A717" i="47"/>
  <c r="B717" i="47" s="1"/>
  <c r="A718" i="47"/>
  <c r="B718" i="47" s="1"/>
  <c r="A719" i="47"/>
  <c r="B719" i="47" s="1"/>
  <c r="A720" i="47"/>
  <c r="B720" i="47" s="1"/>
  <c r="A721" i="47"/>
  <c r="B721" i="47" s="1"/>
  <c r="A722" i="47"/>
  <c r="B722" i="47" s="1"/>
  <c r="A723" i="47"/>
  <c r="B723" i="47" s="1"/>
  <c r="A724" i="47"/>
  <c r="B724" i="47" s="1"/>
  <c r="A725" i="47"/>
  <c r="B725" i="47" s="1"/>
  <c r="A726" i="47"/>
  <c r="B726" i="47" s="1"/>
  <c r="A727" i="47"/>
  <c r="B727" i="47" s="1"/>
  <c r="A728" i="47"/>
  <c r="B728" i="47" s="1"/>
  <c r="A729" i="47"/>
  <c r="B729" i="47" s="1"/>
  <c r="A730" i="47"/>
  <c r="B730" i="47" s="1"/>
  <c r="A731" i="47"/>
  <c r="B731" i="47" s="1"/>
  <c r="A732" i="47"/>
  <c r="B732" i="47" s="1"/>
  <c r="A733" i="47"/>
  <c r="B733" i="47" s="1"/>
  <c r="A734" i="47"/>
  <c r="B734" i="47" s="1"/>
  <c r="A735" i="47"/>
  <c r="B735" i="47" s="1"/>
  <c r="A736" i="47"/>
  <c r="B736" i="47" s="1"/>
  <c r="A737" i="47"/>
  <c r="B737" i="47" s="1"/>
  <c r="A738" i="47"/>
  <c r="B738" i="47" s="1"/>
  <c r="A739" i="47"/>
  <c r="B739" i="47" s="1"/>
  <c r="A740" i="47"/>
  <c r="B740" i="47" s="1"/>
  <c r="A741" i="47"/>
  <c r="B741" i="47" s="1"/>
  <c r="A742" i="47"/>
  <c r="B742" i="47" s="1"/>
  <c r="A743" i="47"/>
  <c r="B743" i="47" s="1"/>
  <c r="A744" i="47"/>
  <c r="B744" i="47" s="1"/>
  <c r="A745" i="47"/>
  <c r="B745" i="47" s="1"/>
  <c r="A746" i="47"/>
  <c r="B746" i="47" s="1"/>
  <c r="A747" i="47"/>
  <c r="B747" i="47" s="1"/>
  <c r="A748" i="47"/>
  <c r="B748" i="47" s="1"/>
  <c r="A749" i="47"/>
  <c r="B749" i="47" s="1"/>
  <c r="A750" i="47"/>
  <c r="B750" i="47" s="1"/>
  <c r="A751" i="47"/>
  <c r="B751" i="47" s="1"/>
  <c r="A752" i="47"/>
  <c r="B752" i="47" s="1"/>
  <c r="A753" i="47"/>
  <c r="B753" i="47" s="1"/>
  <c r="A754" i="47"/>
  <c r="B754" i="47" s="1"/>
  <c r="A755" i="47"/>
  <c r="B755" i="47" s="1"/>
  <c r="A756" i="47"/>
  <c r="B756" i="47" s="1"/>
  <c r="A757" i="47"/>
  <c r="B757" i="47" s="1"/>
  <c r="A758" i="47"/>
  <c r="B758" i="47" s="1"/>
  <c r="A759" i="47"/>
  <c r="B759" i="47" s="1"/>
  <c r="A760" i="47"/>
  <c r="B760" i="47" s="1"/>
  <c r="A761" i="47"/>
  <c r="B761" i="47" s="1"/>
  <c r="A762" i="47"/>
  <c r="B762" i="47" s="1"/>
  <c r="A763" i="47"/>
  <c r="B763" i="47" s="1"/>
  <c r="A764" i="47"/>
  <c r="B764" i="47" s="1"/>
  <c r="A765" i="47"/>
  <c r="B765" i="47" s="1"/>
  <c r="A766" i="47"/>
  <c r="B766" i="47" s="1"/>
  <c r="A767" i="47"/>
  <c r="B767" i="47" s="1"/>
  <c r="A768" i="47"/>
  <c r="B768" i="47" s="1"/>
  <c r="A769" i="47"/>
  <c r="B769" i="47" s="1"/>
  <c r="A770" i="47"/>
  <c r="B770" i="47" s="1"/>
  <c r="A771" i="47"/>
  <c r="B771" i="47" s="1"/>
  <c r="A772" i="47"/>
  <c r="B772" i="47" s="1"/>
  <c r="A773" i="47"/>
  <c r="B773" i="47" s="1"/>
  <c r="A774" i="47"/>
  <c r="B774" i="47" s="1"/>
  <c r="A775" i="47"/>
  <c r="B775" i="47" s="1"/>
  <c r="A776" i="47"/>
  <c r="B776" i="47" s="1"/>
  <c r="A777" i="47"/>
  <c r="B777" i="47" s="1"/>
  <c r="A778" i="47"/>
  <c r="B778" i="47" s="1"/>
  <c r="A779" i="47"/>
  <c r="B779" i="47" s="1"/>
  <c r="A780" i="47"/>
  <c r="B780" i="47" s="1"/>
  <c r="A781" i="47"/>
  <c r="B781" i="47" s="1"/>
  <c r="A782" i="47"/>
  <c r="B782" i="47" s="1"/>
  <c r="A783" i="47"/>
  <c r="B783" i="47" s="1"/>
  <c r="A784" i="47"/>
  <c r="B784" i="47" s="1"/>
  <c r="A785" i="47"/>
  <c r="B785" i="47" s="1"/>
  <c r="A786" i="47"/>
  <c r="B786" i="47" s="1"/>
  <c r="A787" i="47"/>
  <c r="B787" i="47" s="1"/>
  <c r="A788" i="47"/>
  <c r="B788" i="47" s="1"/>
  <c r="A789" i="47"/>
  <c r="B789" i="47" s="1"/>
  <c r="A790" i="47"/>
  <c r="B790" i="47" s="1"/>
  <c r="A791" i="47"/>
  <c r="B791" i="47" s="1"/>
  <c r="A792" i="47"/>
  <c r="B792" i="47" s="1"/>
  <c r="A793" i="47"/>
  <c r="B793" i="47" s="1"/>
  <c r="A794" i="47"/>
  <c r="B794" i="47" s="1"/>
  <c r="A795" i="47"/>
  <c r="B795" i="47" s="1"/>
  <c r="A796" i="47"/>
  <c r="B796" i="47" s="1"/>
  <c r="A797" i="47"/>
  <c r="B797" i="47" s="1"/>
  <c r="A798" i="47"/>
  <c r="B798" i="47" s="1"/>
  <c r="A799" i="47"/>
  <c r="B799" i="47" s="1"/>
  <c r="A800" i="47"/>
  <c r="B800" i="47" s="1"/>
  <c r="A801" i="47"/>
  <c r="B801" i="47" s="1"/>
  <c r="A802" i="47"/>
  <c r="B802" i="47" s="1"/>
  <c r="A803" i="47"/>
  <c r="B803" i="47" s="1"/>
  <c r="A804" i="47"/>
  <c r="B804" i="47" s="1"/>
  <c r="A805" i="47"/>
  <c r="B805" i="47" s="1"/>
  <c r="A806" i="47"/>
  <c r="B806" i="47" s="1"/>
  <c r="A807" i="47"/>
  <c r="B807" i="47" s="1"/>
  <c r="A808" i="47"/>
  <c r="B808" i="47" s="1"/>
  <c r="A809" i="47"/>
  <c r="B809" i="47" s="1"/>
  <c r="A810" i="47"/>
  <c r="B810" i="47" s="1"/>
  <c r="A811" i="47"/>
  <c r="B811" i="47" s="1"/>
  <c r="A812" i="47"/>
  <c r="B812" i="47" s="1"/>
  <c r="A813" i="47"/>
  <c r="B813" i="47" s="1"/>
  <c r="A814" i="47"/>
  <c r="B814" i="47" s="1"/>
  <c r="A815" i="47"/>
  <c r="B815" i="47" s="1"/>
  <c r="A816" i="47"/>
  <c r="B816" i="47" s="1"/>
  <c r="A817" i="47"/>
  <c r="B817" i="47" s="1"/>
  <c r="A818" i="47"/>
  <c r="B818" i="47" s="1"/>
  <c r="A819" i="47"/>
  <c r="B819" i="47" s="1"/>
  <c r="A820" i="47"/>
  <c r="B820" i="47" s="1"/>
  <c r="A821" i="47"/>
  <c r="B821" i="47" s="1"/>
  <c r="A822" i="47"/>
  <c r="B822" i="47" s="1"/>
  <c r="A823" i="47"/>
  <c r="B823" i="47" s="1"/>
  <c r="A824" i="47"/>
  <c r="B824" i="47" s="1"/>
  <c r="A825" i="47"/>
  <c r="B825" i="47" s="1"/>
  <c r="A826" i="47"/>
  <c r="B826" i="47" s="1"/>
  <c r="A827" i="47"/>
  <c r="B827" i="47" s="1"/>
  <c r="A828" i="47"/>
  <c r="B828" i="47" s="1"/>
  <c r="A829" i="47"/>
  <c r="B829" i="47" s="1"/>
  <c r="A830" i="47"/>
  <c r="B830" i="47" s="1"/>
  <c r="A831" i="47"/>
  <c r="B831" i="47" s="1"/>
  <c r="A832" i="47"/>
  <c r="B832" i="47" s="1"/>
  <c r="A833" i="47"/>
  <c r="B833" i="47" s="1"/>
  <c r="A834" i="47"/>
  <c r="B834" i="47" s="1"/>
  <c r="A835" i="47"/>
  <c r="B835" i="47" s="1"/>
  <c r="A836" i="47"/>
  <c r="B836" i="47" s="1"/>
  <c r="A837" i="47"/>
  <c r="B837" i="47" s="1"/>
  <c r="A838" i="47"/>
  <c r="B838" i="47" s="1"/>
  <c r="A839" i="47"/>
  <c r="B839" i="47" s="1"/>
  <c r="A840" i="47"/>
  <c r="B840" i="47" s="1"/>
  <c r="A841" i="47"/>
  <c r="B841" i="47" s="1"/>
  <c r="A842" i="47"/>
  <c r="B842" i="47" s="1"/>
  <c r="A843" i="47"/>
  <c r="B843" i="47" s="1"/>
  <c r="A844" i="47"/>
  <c r="B844" i="47" s="1"/>
  <c r="A845" i="47"/>
  <c r="B845" i="47" s="1"/>
  <c r="A846" i="47"/>
  <c r="B846" i="47" s="1"/>
  <c r="A847" i="47"/>
  <c r="B847" i="47" s="1"/>
  <c r="A848" i="47"/>
  <c r="B848" i="47" s="1"/>
  <c r="A849" i="47"/>
  <c r="B849" i="47" s="1"/>
  <c r="A850" i="47"/>
  <c r="B850" i="47" s="1"/>
  <c r="A851" i="47"/>
  <c r="B851" i="47" s="1"/>
  <c r="A852" i="47"/>
  <c r="B852" i="47" s="1"/>
  <c r="A853" i="47"/>
  <c r="B853" i="47" s="1"/>
  <c r="A854" i="47"/>
  <c r="B854" i="47" s="1"/>
  <c r="A855" i="47"/>
  <c r="B855" i="47" s="1"/>
  <c r="A856" i="47"/>
  <c r="B856" i="47" s="1"/>
  <c r="A857" i="47"/>
  <c r="B857" i="47" s="1"/>
  <c r="A858" i="47"/>
  <c r="B858" i="47" s="1"/>
  <c r="A859" i="47"/>
  <c r="B859" i="47" s="1"/>
  <c r="A860" i="47"/>
  <c r="B860" i="47" s="1"/>
  <c r="A861" i="47"/>
  <c r="B861" i="47" s="1"/>
  <c r="A862" i="47"/>
  <c r="B862" i="47" s="1"/>
  <c r="A863" i="47"/>
  <c r="B863" i="47" s="1"/>
  <c r="A864" i="47"/>
  <c r="B864" i="47" s="1"/>
  <c r="A865" i="47"/>
  <c r="B865" i="47" s="1"/>
  <c r="A866" i="47"/>
  <c r="B866" i="47" s="1"/>
  <c r="A867" i="47"/>
  <c r="B867" i="47" s="1"/>
  <c r="A868" i="47"/>
  <c r="B868" i="47" s="1"/>
  <c r="A869" i="47"/>
  <c r="B869" i="47" s="1"/>
  <c r="A870" i="47"/>
  <c r="B870" i="47" s="1"/>
  <c r="A871" i="47"/>
  <c r="B871" i="47" s="1"/>
  <c r="A872" i="47"/>
  <c r="B872" i="47" s="1"/>
  <c r="A873" i="47"/>
  <c r="B873" i="47" s="1"/>
  <c r="A874" i="47"/>
  <c r="B874" i="47" s="1"/>
  <c r="A875" i="47"/>
  <c r="B875" i="47" s="1"/>
  <c r="A876" i="47"/>
  <c r="B876" i="47" s="1"/>
  <c r="A877" i="47"/>
  <c r="B877" i="47" s="1"/>
  <c r="A878" i="47"/>
  <c r="B878" i="47" s="1"/>
  <c r="A879" i="47"/>
  <c r="B879" i="47" s="1"/>
  <c r="A880" i="47"/>
  <c r="B880" i="47" s="1"/>
  <c r="A881" i="47"/>
  <c r="B881" i="47" s="1"/>
  <c r="A882" i="47"/>
  <c r="B882" i="47" s="1"/>
  <c r="A883" i="47"/>
  <c r="B883" i="47" s="1"/>
  <c r="A884" i="47"/>
  <c r="B884" i="47" s="1"/>
  <c r="A885" i="47"/>
  <c r="B885" i="47" s="1"/>
  <c r="A886" i="47"/>
  <c r="B886" i="47" s="1"/>
  <c r="A887" i="47"/>
  <c r="B887" i="47" s="1"/>
  <c r="A888" i="47"/>
  <c r="B888" i="47" s="1"/>
  <c r="A889" i="47"/>
  <c r="B889" i="47" s="1"/>
  <c r="A890" i="47"/>
  <c r="B890" i="47" s="1"/>
  <c r="A891" i="47"/>
  <c r="B891" i="47" s="1"/>
  <c r="A892" i="47"/>
  <c r="B892" i="47" s="1"/>
  <c r="A893" i="47"/>
  <c r="B893" i="47" s="1"/>
  <c r="A894" i="47"/>
  <c r="B894" i="47" s="1"/>
  <c r="A895" i="47"/>
  <c r="B895" i="47" s="1"/>
  <c r="A896" i="47"/>
  <c r="B896" i="47" s="1"/>
  <c r="A897" i="47"/>
  <c r="B897" i="47" s="1"/>
  <c r="A898" i="47"/>
  <c r="B898" i="47" s="1"/>
  <c r="A899" i="47"/>
  <c r="B899" i="47" s="1"/>
  <c r="A900" i="47"/>
  <c r="B900" i="47" s="1"/>
  <c r="A901" i="47"/>
  <c r="B901" i="47" s="1"/>
  <c r="A902" i="47"/>
  <c r="B902" i="47" s="1"/>
  <c r="A903" i="47"/>
  <c r="B903" i="47" s="1"/>
  <c r="A904" i="47"/>
  <c r="B904" i="47" s="1"/>
  <c r="A905" i="47"/>
  <c r="B905" i="47" s="1"/>
  <c r="A906" i="47"/>
  <c r="B906" i="47" s="1"/>
  <c r="A907" i="47"/>
  <c r="B907" i="47" s="1"/>
  <c r="A908" i="47"/>
  <c r="B908" i="47" s="1"/>
  <c r="A909" i="47"/>
  <c r="B909" i="47" s="1"/>
  <c r="A910" i="47"/>
  <c r="B910" i="47" s="1"/>
  <c r="A911" i="47"/>
  <c r="B911" i="47" s="1"/>
  <c r="A912" i="47"/>
  <c r="B912" i="47" s="1"/>
  <c r="A913" i="47"/>
  <c r="B913" i="47" s="1"/>
  <c r="A914" i="47"/>
  <c r="B914" i="47" s="1"/>
  <c r="A915" i="47"/>
  <c r="B915" i="47" s="1"/>
  <c r="A916" i="47"/>
  <c r="B916" i="47" s="1"/>
  <c r="A917" i="47"/>
  <c r="B917" i="47" s="1"/>
  <c r="A918" i="47"/>
  <c r="B918" i="47" s="1"/>
  <c r="A919" i="47"/>
  <c r="B919" i="47" s="1"/>
  <c r="A920" i="47"/>
  <c r="B920" i="47" s="1"/>
  <c r="A921" i="47"/>
  <c r="B921" i="47" s="1"/>
  <c r="A922" i="47"/>
  <c r="B922" i="47" s="1"/>
  <c r="A923" i="47"/>
  <c r="B923" i="47" s="1"/>
  <c r="A924" i="47"/>
  <c r="B924" i="47" s="1"/>
  <c r="A925" i="47"/>
  <c r="B925" i="47" s="1"/>
  <c r="A926" i="47"/>
  <c r="B926" i="47" s="1"/>
  <c r="A927" i="47"/>
  <c r="B927" i="47" s="1"/>
  <c r="A928" i="47"/>
  <c r="B928" i="47" s="1"/>
  <c r="A929" i="47"/>
  <c r="B929" i="47" s="1"/>
  <c r="A930" i="47"/>
  <c r="B930" i="47" s="1"/>
  <c r="A931" i="47"/>
  <c r="B931" i="47" s="1"/>
  <c r="A932" i="47"/>
  <c r="B932" i="47" s="1"/>
  <c r="A933" i="47"/>
  <c r="B933" i="47" s="1"/>
  <c r="A934" i="47"/>
  <c r="B934" i="47" s="1"/>
  <c r="A935" i="47"/>
  <c r="B935" i="47" s="1"/>
  <c r="A936" i="47"/>
  <c r="B936" i="47" s="1"/>
  <c r="A937" i="47"/>
  <c r="B937" i="47" s="1"/>
  <c r="A938" i="47"/>
  <c r="B938" i="47" s="1"/>
  <c r="A939" i="47"/>
  <c r="B939" i="47" s="1"/>
  <c r="A940" i="47"/>
  <c r="B940" i="47" s="1"/>
  <c r="A941" i="47"/>
  <c r="B941" i="47" s="1"/>
  <c r="A942" i="47"/>
  <c r="B942" i="47" s="1"/>
  <c r="A943" i="47"/>
  <c r="B943" i="47" s="1"/>
  <c r="A944" i="47"/>
  <c r="B944" i="47" s="1"/>
  <c r="A945" i="47"/>
  <c r="B945" i="47" s="1"/>
  <c r="A946" i="47"/>
  <c r="B946" i="47" s="1"/>
  <c r="A947" i="47"/>
  <c r="B947" i="47" s="1"/>
  <c r="A948" i="47"/>
  <c r="B948" i="47" s="1"/>
  <c r="A949" i="47"/>
  <c r="B949" i="47" s="1"/>
  <c r="A950" i="47"/>
  <c r="B950" i="47" s="1"/>
  <c r="A951" i="47"/>
  <c r="B951" i="47" s="1"/>
  <c r="A952" i="47"/>
  <c r="B952" i="47" s="1"/>
  <c r="A953" i="47"/>
  <c r="B953" i="47" s="1"/>
  <c r="A954" i="47"/>
  <c r="B954" i="47" s="1"/>
  <c r="A955" i="47"/>
  <c r="B955" i="47" s="1"/>
  <c r="A956" i="47"/>
  <c r="B956" i="47" s="1"/>
  <c r="A957" i="47"/>
  <c r="B957" i="47" s="1"/>
  <c r="A958" i="47"/>
  <c r="B958" i="47" s="1"/>
  <c r="A959" i="47"/>
  <c r="B959" i="47" s="1"/>
  <c r="A960" i="47"/>
  <c r="B960" i="47" s="1"/>
  <c r="A961" i="47"/>
  <c r="B961" i="47" s="1"/>
  <c r="A962" i="47"/>
  <c r="B962" i="47" s="1"/>
  <c r="A963" i="47"/>
  <c r="B963" i="47" s="1"/>
  <c r="A964" i="47"/>
  <c r="B964" i="47" s="1"/>
  <c r="A965" i="47"/>
  <c r="B965" i="47" s="1"/>
  <c r="A966" i="47"/>
  <c r="B966" i="47" s="1"/>
  <c r="A967" i="47"/>
  <c r="B967" i="47" s="1"/>
  <c r="A968" i="47"/>
  <c r="B968" i="47" s="1"/>
  <c r="A969" i="47"/>
  <c r="B969" i="47" s="1"/>
  <c r="A970" i="47"/>
  <c r="B970" i="47" s="1"/>
  <c r="A971" i="47"/>
  <c r="B971" i="47" s="1"/>
  <c r="A972" i="47"/>
  <c r="B972" i="47" s="1"/>
  <c r="A973" i="47"/>
  <c r="B973" i="47" s="1"/>
  <c r="A974" i="47"/>
  <c r="B974" i="47" s="1"/>
  <c r="A975" i="47"/>
  <c r="B975" i="47" s="1"/>
  <c r="A976" i="47"/>
  <c r="B976" i="47" s="1"/>
  <c r="A977" i="47"/>
  <c r="B977" i="47" s="1"/>
  <c r="A978" i="47"/>
  <c r="B978" i="47" s="1"/>
  <c r="A979" i="47"/>
  <c r="B979" i="47" s="1"/>
  <c r="A980" i="47"/>
  <c r="B980" i="47" s="1"/>
  <c r="A981" i="47"/>
  <c r="B981" i="47" s="1"/>
  <c r="A982" i="47"/>
  <c r="B982" i="47" s="1"/>
  <c r="A983" i="47"/>
  <c r="B983" i="47" s="1"/>
  <c r="A984" i="47"/>
  <c r="B984" i="47" s="1"/>
  <c r="A985" i="47"/>
  <c r="B985" i="47" s="1"/>
  <c r="A986" i="47"/>
  <c r="B986" i="47" s="1"/>
  <c r="A987" i="47"/>
  <c r="B987" i="47" s="1"/>
  <c r="A988" i="47"/>
  <c r="B988" i="47" s="1"/>
  <c r="A989" i="47"/>
  <c r="B989" i="47" s="1"/>
  <c r="A990" i="47"/>
  <c r="B990" i="47" s="1"/>
  <c r="A991" i="47"/>
  <c r="B991" i="47" s="1"/>
  <c r="A992" i="47"/>
  <c r="B992" i="47" s="1"/>
  <c r="A993" i="47"/>
  <c r="B993" i="47" s="1"/>
  <c r="A994" i="47"/>
  <c r="B994" i="47" s="1"/>
  <c r="A995" i="47"/>
  <c r="B995" i="47" s="1"/>
  <c r="A996" i="47"/>
  <c r="B996" i="47" s="1"/>
  <c r="A997" i="47"/>
  <c r="B997" i="47" s="1"/>
  <c r="A998" i="47"/>
  <c r="B998" i="47" s="1"/>
  <c r="A999" i="47"/>
  <c r="B999" i="47" s="1"/>
  <c r="A1000" i="47"/>
  <c r="B1000" i="47" s="1"/>
  <c r="A1001" i="47"/>
  <c r="B1001" i="47" s="1"/>
  <c r="A1002" i="47"/>
  <c r="B1002" i="47" s="1"/>
  <c r="A1003" i="47"/>
  <c r="B1003" i="47" s="1"/>
  <c r="A1004" i="47"/>
  <c r="B1004" i="47" s="1"/>
  <c r="A1005" i="47"/>
  <c r="B1005" i="47" s="1"/>
  <c r="A1006" i="47"/>
  <c r="B1006" i="47" s="1"/>
  <c r="A1007" i="47"/>
  <c r="B1007" i="47" s="1"/>
  <c r="A1008" i="47"/>
  <c r="B1008" i="47" s="1"/>
  <c r="A1009" i="47"/>
  <c r="B1009" i="47" s="1"/>
  <c r="A1010" i="47"/>
  <c r="B1010" i="47" s="1"/>
  <c r="A1011" i="47"/>
  <c r="B1011" i="47" s="1"/>
  <c r="A1012" i="47"/>
  <c r="B1012" i="47" s="1"/>
  <c r="G4" i="46"/>
  <c r="B5" i="45" s="1"/>
  <c r="G7" i="46"/>
  <c r="B8" i="45" s="1"/>
  <c r="I8" i="46"/>
  <c r="J8" i="46"/>
  <c r="K8" i="46"/>
  <c r="G9" i="46"/>
  <c r="B10" i="45" s="1"/>
  <c r="G11" i="46"/>
  <c r="B12" i="45" s="1"/>
  <c r="B5" i="46"/>
  <c r="B28" i="46" s="1"/>
  <c r="G12" i="46"/>
  <c r="B13" i="45" s="1"/>
  <c r="B642" i="46"/>
  <c r="B775" i="46"/>
  <c r="B885" i="46"/>
  <c r="B994" i="46"/>
  <c r="E4" i="44"/>
  <c r="F4" i="44"/>
  <c r="H4" i="44"/>
  <c r="I4" i="44"/>
  <c r="L4" i="44"/>
  <c r="E5" i="44"/>
  <c r="F5" i="44"/>
  <c r="H5" i="44"/>
  <c r="I5" i="44"/>
  <c r="E6" i="44"/>
  <c r="F6" i="44"/>
  <c r="H6" i="44"/>
  <c r="I6" i="44"/>
  <c r="E7" i="44"/>
  <c r="F7" i="44"/>
  <c r="H7" i="44"/>
  <c r="I7" i="44"/>
  <c r="L7" i="44"/>
  <c r="E16" i="44"/>
  <c r="F16" i="44"/>
  <c r="H16" i="44"/>
  <c r="I16" i="44" s="1"/>
  <c r="E8" i="44"/>
  <c r="L8" i="44" s="1"/>
  <c r="F8" i="44"/>
  <c r="H8" i="44"/>
  <c r="I8" i="44"/>
  <c r="E9" i="44"/>
  <c r="F9" i="44"/>
  <c r="H9" i="44"/>
  <c r="I9" i="44" s="1"/>
  <c r="E10" i="44"/>
  <c r="F10" i="44"/>
  <c r="H10" i="44"/>
  <c r="I10" i="44"/>
  <c r="L10" i="44"/>
  <c r="E11" i="44"/>
  <c r="F11" i="44"/>
  <c r="H11" i="44"/>
  <c r="I11" i="44" s="1"/>
  <c r="E12" i="44"/>
  <c r="F12" i="44"/>
  <c r="H12" i="44"/>
  <c r="I12" i="44"/>
  <c r="E13" i="44"/>
  <c r="F13" i="44"/>
  <c r="H13" i="44"/>
  <c r="I13" i="44"/>
  <c r="L13" i="44" s="1"/>
  <c r="E14" i="44"/>
  <c r="F14" i="44"/>
  <c r="H14" i="44"/>
  <c r="I14" i="44" s="1"/>
  <c r="E15" i="44"/>
  <c r="F15" i="44"/>
  <c r="H15" i="44"/>
  <c r="I15" i="44"/>
  <c r="L15" i="44"/>
  <c r="E17" i="44"/>
  <c r="F17" i="44"/>
  <c r="H17" i="44"/>
  <c r="I17" i="44" s="1"/>
  <c r="E18" i="44"/>
  <c r="F18" i="44"/>
  <c r="H18" i="44"/>
  <c r="I18" i="44" s="1"/>
  <c r="L18" i="44" s="1"/>
  <c r="L21" i="47" l="1"/>
  <c r="B329" i="46"/>
  <c r="B303" i="46"/>
  <c r="B850" i="46"/>
  <c r="B866" i="46"/>
  <c r="B247" i="46"/>
  <c r="B276" i="46"/>
  <c r="B848" i="46"/>
  <c r="B869" i="46"/>
  <c r="B471" i="46"/>
  <c r="B735" i="46"/>
  <c r="B714" i="46"/>
  <c r="B569" i="46"/>
  <c r="B978" i="46"/>
  <c r="B976" i="46"/>
  <c r="B832" i="46"/>
  <c r="B426" i="46"/>
  <c r="B940" i="46"/>
  <c r="B548" i="46"/>
  <c r="B402" i="46"/>
  <c r="B130" i="46"/>
  <c r="B618" i="46"/>
  <c r="B596" i="46"/>
  <c r="B733" i="46"/>
  <c r="B218" i="46"/>
  <c r="B572" i="46"/>
  <c r="B422" i="46"/>
  <c r="B398" i="46"/>
  <c r="B621" i="46"/>
  <c r="B754" i="46"/>
  <c r="B594" i="46"/>
  <c r="B447" i="46"/>
  <c r="B942" i="46"/>
  <c r="B188" i="46"/>
  <c r="B830" i="46"/>
  <c r="B158" i="46"/>
  <c r="B814" i="46"/>
  <c r="B796" i="46"/>
  <c r="B495" i="46"/>
  <c r="B757" i="46"/>
  <c r="B475" i="46"/>
  <c r="B960" i="46"/>
  <c r="B450" i="46"/>
  <c r="B958" i="46"/>
  <c r="B711" i="46"/>
  <c r="B924" i="46"/>
  <c r="B693" i="46"/>
  <c r="B921" i="46"/>
  <c r="B812" i="46"/>
  <c r="B690" i="46"/>
  <c r="B545" i="46"/>
  <c r="B101" i="46"/>
  <c r="B1012" i="46"/>
  <c r="B905" i="46"/>
  <c r="B669" i="46"/>
  <c r="B523" i="46"/>
  <c r="B377" i="46"/>
  <c r="B71" i="46"/>
  <c r="B1010" i="46"/>
  <c r="B903" i="46"/>
  <c r="B793" i="46"/>
  <c r="B667" i="46"/>
  <c r="B521" i="46"/>
  <c r="B374" i="46"/>
  <c r="B42" i="46"/>
  <c r="B997" i="46"/>
  <c r="B887" i="46"/>
  <c r="B777" i="46"/>
  <c r="B645" i="46"/>
  <c r="B499" i="46"/>
  <c r="B353" i="46"/>
  <c r="M14" i="51"/>
  <c r="L14" i="51"/>
  <c r="K14" i="51"/>
  <c r="J14" i="51"/>
  <c r="I14" i="51"/>
  <c r="N8" i="51"/>
  <c r="N10" i="51"/>
  <c r="N11" i="51"/>
  <c r="N12" i="51"/>
  <c r="N13" i="51"/>
  <c r="B14" i="51"/>
  <c r="M15" i="51" s="1"/>
  <c r="C57" i="50"/>
  <c r="C39" i="50" s="1"/>
  <c r="G57" i="50"/>
  <c r="G39" i="50" s="1"/>
  <c r="F53" i="50"/>
  <c r="E53" i="50"/>
  <c r="C37" i="50"/>
  <c r="D60" i="50"/>
  <c r="D40" i="50" s="1"/>
  <c r="F57" i="50"/>
  <c r="F39" i="50" s="1"/>
  <c r="D53" i="50"/>
  <c r="E57" i="50"/>
  <c r="E39" i="50" s="1"/>
  <c r="G53" i="50"/>
  <c r="D57" i="50"/>
  <c r="D39" i="50" s="1"/>
  <c r="F60" i="50"/>
  <c r="F40" i="50" s="1"/>
  <c r="C53" i="50"/>
  <c r="C60" i="50"/>
  <c r="C40" i="50" s="1"/>
  <c r="G60" i="50"/>
  <c r="G40" i="50" s="1"/>
  <c r="L17" i="44"/>
  <c r="L11" i="44"/>
  <c r="L6" i="44"/>
  <c r="L9" i="44"/>
  <c r="L14" i="44"/>
  <c r="J104" i="49"/>
  <c r="O39" i="49"/>
  <c r="O50" i="49" s="1"/>
  <c r="C93" i="49"/>
  <c r="N93" i="49"/>
  <c r="I50" i="49"/>
  <c r="I104" i="49"/>
  <c r="L93" i="49"/>
  <c r="K93" i="49"/>
  <c r="E50" i="49"/>
  <c r="B301" i="46"/>
  <c r="B185" i="46"/>
  <c r="B97" i="46"/>
  <c r="B1008" i="46"/>
  <c r="B864" i="46"/>
  <c r="B751" i="46"/>
  <c r="B614" i="46"/>
  <c r="B493" i="46"/>
  <c r="B322" i="46"/>
  <c r="B93" i="46"/>
  <c r="B972" i="46"/>
  <c r="B917" i="46"/>
  <c r="B825" i="46"/>
  <c r="B727" i="46"/>
  <c r="B636" i="46"/>
  <c r="B539" i="46"/>
  <c r="B393" i="46"/>
  <c r="B236" i="46"/>
  <c r="B90" i="46"/>
  <c r="B933" i="46"/>
  <c r="B860" i="46"/>
  <c r="B805" i="46"/>
  <c r="B725" i="46"/>
  <c r="B682" i="46"/>
  <c r="B585" i="46"/>
  <c r="B486" i="46"/>
  <c r="B389" i="46"/>
  <c r="B291" i="46"/>
  <c r="B231" i="46"/>
  <c r="B174" i="46"/>
  <c r="B115" i="46"/>
  <c r="B85" i="46"/>
  <c r="B57" i="46"/>
  <c r="B16" i="46"/>
  <c r="B24" i="46"/>
  <c r="B32" i="46"/>
  <c r="B40" i="46"/>
  <c r="B48" i="46"/>
  <c r="B56" i="46"/>
  <c r="B64" i="46"/>
  <c r="B72" i="46"/>
  <c r="B80" i="46"/>
  <c r="B88" i="46"/>
  <c r="B96" i="46"/>
  <c r="B104" i="46"/>
  <c r="B112" i="46"/>
  <c r="B120" i="46"/>
  <c r="B128" i="46"/>
  <c r="B136" i="46"/>
  <c r="B144" i="46"/>
  <c r="B152" i="46"/>
  <c r="B160" i="46"/>
  <c r="B168" i="46"/>
  <c r="B176" i="46"/>
  <c r="B184" i="46"/>
  <c r="B192" i="46"/>
  <c r="B200" i="46"/>
  <c r="B208" i="46"/>
  <c r="B216" i="46"/>
  <c r="B224" i="46"/>
  <c r="B232" i="46"/>
  <c r="B240" i="46"/>
  <c r="B248" i="46"/>
  <c r="B256" i="46"/>
  <c r="B264" i="46"/>
  <c r="B272" i="46"/>
  <c r="B280" i="46"/>
  <c r="B288" i="46"/>
  <c r="B296" i="46"/>
  <c r="B304" i="46"/>
  <c r="B312" i="46"/>
  <c r="B320" i="46"/>
  <c r="B328" i="46"/>
  <c r="B336" i="46"/>
  <c r="B344" i="46"/>
  <c r="B352" i="46"/>
  <c r="B360" i="46"/>
  <c r="B368" i="46"/>
  <c r="B376" i="46"/>
  <c r="B384" i="46"/>
  <c r="B392" i="46"/>
  <c r="B400" i="46"/>
  <c r="B408" i="46"/>
  <c r="B416" i="46"/>
  <c r="B424" i="46"/>
  <c r="B432" i="46"/>
  <c r="B440" i="46"/>
  <c r="B448" i="46"/>
  <c r="B456" i="46"/>
  <c r="B464" i="46"/>
  <c r="B472" i="46"/>
  <c r="B480" i="46"/>
  <c r="B488" i="46"/>
  <c r="B496" i="46"/>
  <c r="B504" i="46"/>
  <c r="B512" i="46"/>
  <c r="B520" i="46"/>
  <c r="B528" i="46"/>
  <c r="B536" i="46"/>
  <c r="B544" i="46"/>
  <c r="B552" i="46"/>
  <c r="B560" i="46"/>
  <c r="B568" i="46"/>
  <c r="B576" i="46"/>
  <c r="B584" i="46"/>
  <c r="B592" i="46"/>
  <c r="B600" i="46"/>
  <c r="B608" i="46"/>
  <c r="B616" i="46"/>
  <c r="B624" i="46"/>
  <c r="B632" i="46"/>
  <c r="B640" i="46"/>
  <c r="B648" i="46"/>
  <c r="B656" i="46"/>
  <c r="B664" i="46"/>
  <c r="B672" i="46"/>
  <c r="B680" i="46"/>
  <c r="B18" i="46"/>
  <c r="B27" i="46"/>
  <c r="B36" i="46"/>
  <c r="B45" i="46"/>
  <c r="B54" i="46"/>
  <c r="B63" i="46"/>
  <c r="B73" i="46"/>
  <c r="B82" i="46"/>
  <c r="B91" i="46"/>
  <c r="B100" i="46"/>
  <c r="B109" i="46"/>
  <c r="B118" i="46"/>
  <c r="B127" i="46"/>
  <c r="B137" i="46"/>
  <c r="B146" i="46"/>
  <c r="B155" i="46"/>
  <c r="B164" i="46"/>
  <c r="B173" i="46"/>
  <c r="B182" i="46"/>
  <c r="B191" i="46"/>
  <c r="B201" i="46"/>
  <c r="B210" i="46"/>
  <c r="B219" i="46"/>
  <c r="B228" i="46"/>
  <c r="B237" i="46"/>
  <c r="B246" i="46"/>
  <c r="B255" i="46"/>
  <c r="B265" i="46"/>
  <c r="B274" i="46"/>
  <c r="B283" i="46"/>
  <c r="B292" i="46"/>
  <c r="B13" i="46"/>
  <c r="B22" i="46"/>
  <c r="B31" i="46"/>
  <c r="B41" i="46"/>
  <c r="B50" i="46"/>
  <c r="B59" i="46"/>
  <c r="B68" i="46"/>
  <c r="B77" i="46"/>
  <c r="B86" i="46"/>
  <c r="B95" i="46"/>
  <c r="B105" i="46"/>
  <c r="B114" i="46"/>
  <c r="B123" i="46"/>
  <c r="B132" i="46"/>
  <c r="B141" i="46"/>
  <c r="B150" i="46"/>
  <c r="B159" i="46"/>
  <c r="B169" i="46"/>
  <c r="B178" i="46"/>
  <c r="B187" i="46"/>
  <c r="B196" i="46"/>
  <c r="B205" i="46"/>
  <c r="B214" i="46"/>
  <c r="B223" i="46"/>
  <c r="B233" i="46"/>
  <c r="B242" i="46"/>
  <c r="B251" i="46"/>
  <c r="B260" i="46"/>
  <c r="B269" i="46"/>
  <c r="B278" i="46"/>
  <c r="B287" i="46"/>
  <c r="B297" i="46"/>
  <c r="B306" i="46"/>
  <c r="B315" i="46"/>
  <c r="B324" i="46"/>
  <c r="B333" i="46"/>
  <c r="B342" i="46"/>
  <c r="B351" i="46"/>
  <c r="B361" i="46"/>
  <c r="B370" i="46"/>
  <c r="B379" i="46"/>
  <c r="B388" i="46"/>
  <c r="B397" i="46"/>
  <c r="B406" i="46"/>
  <c r="B415" i="46"/>
  <c r="B425" i="46"/>
  <c r="B434" i="46"/>
  <c r="B443" i="46"/>
  <c r="B452" i="46"/>
  <c r="B461" i="46"/>
  <c r="B470" i="46"/>
  <c r="B479" i="46"/>
  <c r="B489" i="46"/>
  <c r="B498" i="46"/>
  <c r="B507" i="46"/>
  <c r="B516" i="46"/>
  <c r="B525" i="46"/>
  <c r="B534" i="46"/>
  <c r="B543" i="46"/>
  <c r="B553" i="46"/>
  <c r="B562" i="46"/>
  <c r="B571" i="46"/>
  <c r="B580" i="46"/>
  <c r="B589" i="46"/>
  <c r="B598" i="46"/>
  <c r="B607" i="46"/>
  <c r="B617" i="46"/>
  <c r="B626" i="46"/>
  <c r="B635" i="46"/>
  <c r="B644" i="46"/>
  <c r="B653" i="46"/>
  <c r="B662" i="46"/>
  <c r="B671" i="46"/>
  <c r="B681" i="46"/>
  <c r="B689" i="46"/>
  <c r="B697" i="46"/>
  <c r="B705" i="46"/>
  <c r="B713" i="46"/>
  <c r="B721" i="46"/>
  <c r="B729" i="46"/>
  <c r="B737" i="46"/>
  <c r="B745" i="46"/>
  <c r="B753" i="46"/>
  <c r="B761" i="46"/>
  <c r="B769" i="46"/>
  <c r="B15" i="46"/>
  <c r="B25" i="46"/>
  <c r="B34" i="46"/>
  <c r="B43" i="46"/>
  <c r="B52" i="46"/>
  <c r="B61" i="46"/>
  <c r="B70" i="46"/>
  <c r="B79" i="46"/>
  <c r="B89" i="46"/>
  <c r="B98" i="46"/>
  <c r="B107" i="46"/>
  <c r="B116" i="46"/>
  <c r="B125" i="46"/>
  <c r="B134" i="46"/>
  <c r="B143" i="46"/>
  <c r="B153" i="46"/>
  <c r="B162" i="46"/>
  <c r="B171" i="46"/>
  <c r="B180" i="46"/>
  <c r="B189" i="46"/>
  <c r="B198" i="46"/>
  <c r="B207" i="46"/>
  <c r="B217" i="46"/>
  <c r="B226" i="46"/>
  <c r="B235" i="46"/>
  <c r="B244" i="46"/>
  <c r="B253" i="46"/>
  <c r="B262" i="46"/>
  <c r="B271" i="46"/>
  <c r="B281" i="46"/>
  <c r="B290" i="46"/>
  <c r="B299" i="46"/>
  <c r="B308" i="46"/>
  <c r="B317" i="46"/>
  <c r="B326" i="46"/>
  <c r="B335" i="46"/>
  <c r="B345" i="46"/>
  <c r="B354" i="46"/>
  <c r="B363" i="46"/>
  <c r="B372" i="46"/>
  <c r="B381" i="46"/>
  <c r="B390" i="46"/>
  <c r="B399" i="46"/>
  <c r="B409" i="46"/>
  <c r="B418" i="46"/>
  <c r="B427" i="46"/>
  <c r="B436" i="46"/>
  <c r="B445" i="46"/>
  <c r="B454" i="46"/>
  <c r="B463" i="46"/>
  <c r="B473" i="46"/>
  <c r="B482" i="46"/>
  <c r="B491" i="46"/>
  <c r="B500" i="46"/>
  <c r="B509" i="46"/>
  <c r="B518" i="46"/>
  <c r="B527" i="46"/>
  <c r="B537" i="46"/>
  <c r="B546" i="46"/>
  <c r="B555" i="46"/>
  <c r="B564" i="46"/>
  <c r="B573" i="46"/>
  <c r="B582" i="46"/>
  <c r="B591" i="46"/>
  <c r="B601" i="46"/>
  <c r="B610" i="46"/>
  <c r="B619" i="46"/>
  <c r="B628" i="46"/>
  <c r="B637" i="46"/>
  <c r="B646" i="46"/>
  <c r="B655" i="46"/>
  <c r="B665" i="46"/>
  <c r="B674" i="46"/>
  <c r="B683" i="46"/>
  <c r="B691" i="46"/>
  <c r="B699" i="46"/>
  <c r="B707" i="46"/>
  <c r="B715" i="46"/>
  <c r="B723" i="46"/>
  <c r="B731" i="46"/>
  <c r="B739" i="46"/>
  <c r="B747" i="46"/>
  <c r="B755" i="46"/>
  <c r="B763" i="46"/>
  <c r="B771" i="46"/>
  <c r="B779" i="46"/>
  <c r="B787" i="46"/>
  <c r="B795" i="46"/>
  <c r="B803" i="46"/>
  <c r="B811" i="46"/>
  <c r="B819" i="46"/>
  <c r="B827" i="46"/>
  <c r="B835" i="46"/>
  <c r="B843" i="46"/>
  <c r="B851" i="46"/>
  <c r="B859" i="46"/>
  <c r="B867" i="46"/>
  <c r="B875" i="46"/>
  <c r="B883" i="46"/>
  <c r="B891" i="46"/>
  <c r="B899" i="46"/>
  <c r="B907" i="46"/>
  <c r="B915" i="46"/>
  <c r="B923" i="46"/>
  <c r="B931" i="46"/>
  <c r="B939" i="46"/>
  <c r="B947" i="46"/>
  <c r="B955" i="46"/>
  <c r="B963" i="46"/>
  <c r="B971" i="46"/>
  <c r="B979" i="46"/>
  <c r="B987" i="46"/>
  <c r="B995" i="46"/>
  <c r="B1003" i="46"/>
  <c r="B1011" i="46"/>
  <c r="B21" i="46"/>
  <c r="B37" i="46"/>
  <c r="B51" i="46"/>
  <c r="B66" i="46"/>
  <c r="B81" i="46"/>
  <c r="B94" i="46"/>
  <c r="B110" i="46"/>
  <c r="B124" i="46"/>
  <c r="B139" i="46"/>
  <c r="B154" i="46"/>
  <c r="B167" i="46"/>
  <c r="B183" i="46"/>
  <c r="B197" i="46"/>
  <c r="B212" i="46"/>
  <c r="B227" i="46"/>
  <c r="B241" i="46"/>
  <c r="B257" i="46"/>
  <c r="B270" i="46"/>
  <c r="B285" i="46"/>
  <c r="B300" i="46"/>
  <c r="B311" i="46"/>
  <c r="B323" i="46"/>
  <c r="B337" i="46"/>
  <c r="B348" i="46"/>
  <c r="B359" i="46"/>
  <c r="B373" i="46"/>
  <c r="B385" i="46"/>
  <c r="B396" i="46"/>
  <c r="B410" i="46"/>
  <c r="B421" i="46"/>
  <c r="B433" i="46"/>
  <c r="B446" i="46"/>
  <c r="B458" i="46"/>
  <c r="B469" i="46"/>
  <c r="B483" i="46"/>
  <c r="B494" i="46"/>
  <c r="B506" i="46"/>
  <c r="B519" i="46"/>
  <c r="B531" i="46"/>
  <c r="B542" i="46"/>
  <c r="B556" i="46"/>
  <c r="B567" i="46"/>
  <c r="B579" i="46"/>
  <c r="B593" i="46"/>
  <c r="B604" i="46"/>
  <c r="B615" i="46"/>
  <c r="B629" i="46"/>
  <c r="B641" i="46"/>
  <c r="B652" i="46"/>
  <c r="B666" i="46"/>
  <c r="B677" i="46"/>
  <c r="B688" i="46"/>
  <c r="B700" i="46"/>
  <c r="B710" i="46"/>
  <c r="B720" i="46"/>
  <c r="B732" i="46"/>
  <c r="B742" i="46"/>
  <c r="B752" i="46"/>
  <c r="B764" i="46"/>
  <c r="B774" i="46"/>
  <c r="B783" i="46"/>
  <c r="B792" i="46"/>
  <c r="B801" i="46"/>
  <c r="B810" i="46"/>
  <c r="B820" i="46"/>
  <c r="B829" i="46"/>
  <c r="B838" i="46"/>
  <c r="B847" i="46"/>
  <c r="B856" i="46"/>
  <c r="B865" i="46"/>
  <c r="B874" i="46"/>
  <c r="B884" i="46"/>
  <c r="B893" i="46"/>
  <c r="B902" i="46"/>
  <c r="B911" i="46"/>
  <c r="B920" i="46"/>
  <c r="B929" i="46"/>
  <c r="B938" i="46"/>
  <c r="B948" i="46"/>
  <c r="B957" i="46"/>
  <c r="B966" i="46"/>
  <c r="B975" i="46"/>
  <c r="B984" i="46"/>
  <c r="B993" i="46"/>
  <c r="B1002" i="46"/>
  <c r="B26" i="46"/>
  <c r="B39" i="46"/>
  <c r="B55" i="46"/>
  <c r="B69" i="46"/>
  <c r="B84" i="46"/>
  <c r="B99" i="46"/>
  <c r="B113" i="46"/>
  <c r="B129" i="46"/>
  <c r="B142" i="46"/>
  <c r="B157" i="46"/>
  <c r="B172" i="46"/>
  <c r="B186" i="46"/>
  <c r="B202" i="46"/>
  <c r="B215" i="46"/>
  <c r="B230" i="46"/>
  <c r="B245" i="46"/>
  <c r="B259" i="46"/>
  <c r="B275" i="46"/>
  <c r="B289" i="46"/>
  <c r="B302" i="46"/>
  <c r="B314" i="46"/>
  <c r="B327" i="46"/>
  <c r="B339" i="46"/>
  <c r="B350" i="46"/>
  <c r="B364" i="46"/>
  <c r="B375" i="46"/>
  <c r="B387" i="46"/>
  <c r="B401" i="46"/>
  <c r="B412" i="46"/>
  <c r="B423" i="46"/>
  <c r="B437" i="46"/>
  <c r="B449" i="46"/>
  <c r="B460" i="46"/>
  <c r="B474" i="46"/>
  <c r="B485" i="46"/>
  <c r="B497" i="46"/>
  <c r="B510" i="46"/>
  <c r="B522" i="46"/>
  <c r="B533" i="46"/>
  <c r="B547" i="46"/>
  <c r="B558" i="46"/>
  <c r="B570" i="46"/>
  <c r="B583" i="46"/>
  <c r="B595" i="46"/>
  <c r="B606" i="46"/>
  <c r="B620" i="46"/>
  <c r="B631" i="46"/>
  <c r="B643" i="46"/>
  <c r="B657" i="46"/>
  <c r="B668" i="46"/>
  <c r="B679" i="46"/>
  <c r="B692" i="46"/>
  <c r="B702" i="46"/>
  <c r="B712" i="46"/>
  <c r="B724" i="46"/>
  <c r="B734" i="46"/>
  <c r="B744" i="46"/>
  <c r="B756" i="46"/>
  <c r="B766" i="46"/>
  <c r="B776" i="46"/>
  <c r="B785" i="46"/>
  <c r="B794" i="46"/>
  <c r="B804" i="46"/>
  <c r="B813" i="46"/>
  <c r="B822" i="46"/>
  <c r="B831" i="46"/>
  <c r="B840" i="46"/>
  <c r="B849" i="46"/>
  <c r="B858" i="46"/>
  <c r="B868" i="46"/>
  <c r="B877" i="46"/>
  <c r="B886" i="46"/>
  <c r="B895" i="46"/>
  <c r="B904" i="46"/>
  <c r="B913" i="46"/>
  <c r="B922" i="46"/>
  <c r="B932" i="46"/>
  <c r="B941" i="46"/>
  <c r="B950" i="46"/>
  <c r="B959" i="46"/>
  <c r="B968" i="46"/>
  <c r="B977" i="46"/>
  <c r="B986" i="46"/>
  <c r="B996" i="46"/>
  <c r="B14" i="46"/>
  <c r="B29" i="46"/>
  <c r="B44" i="46"/>
  <c r="B58" i="46"/>
  <c r="B74" i="46"/>
  <c r="B87" i="46"/>
  <c r="B102" i="46"/>
  <c r="B117" i="46"/>
  <c r="B131" i="46"/>
  <c r="B147" i="46"/>
  <c r="B161" i="46"/>
  <c r="B175" i="46"/>
  <c r="B190" i="46"/>
  <c r="B204" i="46"/>
  <c r="B220" i="46"/>
  <c r="B234" i="46"/>
  <c r="B249" i="46"/>
  <c r="B263" i="46"/>
  <c r="B277" i="46"/>
  <c r="B293" i="46"/>
  <c r="B305" i="46"/>
  <c r="B318" i="46"/>
  <c r="B330" i="46"/>
  <c r="B341" i="46"/>
  <c r="B355" i="46"/>
  <c r="B366" i="46"/>
  <c r="B378" i="46"/>
  <c r="B391" i="46"/>
  <c r="B403" i="46"/>
  <c r="B414" i="46"/>
  <c r="B428" i="46"/>
  <c r="B439" i="46"/>
  <c r="B451" i="46"/>
  <c r="B465" i="46"/>
  <c r="B476" i="46"/>
  <c r="B487" i="46"/>
  <c r="B501" i="46"/>
  <c r="B513" i="46"/>
  <c r="B524" i="46"/>
  <c r="B538" i="46"/>
  <c r="B549" i="46"/>
  <c r="B561" i="46"/>
  <c r="B574" i="46"/>
  <c r="B586" i="46"/>
  <c r="B597" i="46"/>
  <c r="B611" i="46"/>
  <c r="B622" i="46"/>
  <c r="B634" i="46"/>
  <c r="B647" i="46"/>
  <c r="B659" i="46"/>
  <c r="B670" i="46"/>
  <c r="B684" i="46"/>
  <c r="B694" i="46"/>
  <c r="B704" i="46"/>
  <c r="B716" i="46"/>
  <c r="B726" i="46"/>
  <c r="B736" i="46"/>
  <c r="B748" i="46"/>
  <c r="B758" i="46"/>
  <c r="B768" i="46"/>
  <c r="B778" i="46"/>
  <c r="B788" i="46"/>
  <c r="B797" i="46"/>
  <c r="B806" i="46"/>
  <c r="B815" i="46"/>
  <c r="B824" i="46"/>
  <c r="B833" i="46"/>
  <c r="B842" i="46"/>
  <c r="B852" i="46"/>
  <c r="B861" i="46"/>
  <c r="B870" i="46"/>
  <c r="B879" i="46"/>
  <c r="B888" i="46"/>
  <c r="B897" i="46"/>
  <c r="B906" i="46"/>
  <c r="B916" i="46"/>
  <c r="B925" i="46"/>
  <c r="B934" i="46"/>
  <c r="B943" i="46"/>
  <c r="B952" i="46"/>
  <c r="B961" i="46"/>
  <c r="B970" i="46"/>
  <c r="B980" i="46"/>
  <c r="B989" i="46"/>
  <c r="B998" i="46"/>
  <c r="B1007" i="46"/>
  <c r="B19" i="46"/>
  <c r="B33" i="46"/>
  <c r="B47" i="46"/>
  <c r="B62" i="46"/>
  <c r="B76" i="46"/>
  <c r="B92" i="46"/>
  <c r="B106" i="46"/>
  <c r="B121" i="46"/>
  <c r="B135" i="46"/>
  <c r="B149" i="46"/>
  <c r="B165" i="46"/>
  <c r="B179" i="46"/>
  <c r="B194" i="46"/>
  <c r="B209" i="46"/>
  <c r="B222" i="46"/>
  <c r="B238" i="46"/>
  <c r="B252" i="46"/>
  <c r="B267" i="46"/>
  <c r="B282" i="46"/>
  <c r="B295" i="46"/>
  <c r="B309" i="46"/>
  <c r="B321" i="46"/>
  <c r="B332" i="46"/>
  <c r="B346" i="46"/>
  <c r="B357" i="46"/>
  <c r="B369" i="46"/>
  <c r="B382" i="46"/>
  <c r="B394" i="46"/>
  <c r="B405" i="46"/>
  <c r="B419" i="46"/>
  <c r="B430" i="46"/>
  <c r="B442" i="46"/>
  <c r="B455" i="46"/>
  <c r="B467" i="46"/>
  <c r="B478" i="46"/>
  <c r="B492" i="46"/>
  <c r="B503" i="46"/>
  <c r="B515" i="46"/>
  <c r="B529" i="46"/>
  <c r="B540" i="46"/>
  <c r="B551" i="46"/>
  <c r="B565" i="46"/>
  <c r="B577" i="46"/>
  <c r="B588" i="46"/>
  <c r="B602" i="46"/>
  <c r="B613" i="46"/>
  <c r="B625" i="46"/>
  <c r="B638" i="46"/>
  <c r="B650" i="46"/>
  <c r="B661" i="46"/>
  <c r="B675" i="46"/>
  <c r="B686" i="46"/>
  <c r="B696" i="46"/>
  <c r="B708" i="46"/>
  <c r="B718" i="46"/>
  <c r="B728" i="46"/>
  <c r="B740" i="46"/>
  <c r="B750" i="46"/>
  <c r="B760" i="46"/>
  <c r="B772" i="46"/>
  <c r="B781" i="46"/>
  <c r="B790" i="46"/>
  <c r="B799" i="46"/>
  <c r="B808" i="46"/>
  <c r="B817" i="46"/>
  <c r="B826" i="46"/>
  <c r="B836" i="46"/>
  <c r="B845" i="46"/>
  <c r="B854" i="46"/>
  <c r="B863" i="46"/>
  <c r="B872" i="46"/>
  <c r="B881" i="46"/>
  <c r="B890" i="46"/>
  <c r="B900" i="46"/>
  <c r="B909" i="46"/>
  <c r="B918" i="46"/>
  <c r="B927" i="46"/>
  <c r="B936" i="46"/>
  <c r="B945" i="46"/>
  <c r="B954" i="46"/>
  <c r="B964" i="46"/>
  <c r="B973" i="46"/>
  <c r="B982" i="46"/>
  <c r="B991" i="46"/>
  <c r="B1000" i="46"/>
  <c r="B1009" i="46"/>
  <c r="B974" i="46"/>
  <c r="B901" i="46"/>
  <c r="B791" i="46"/>
  <c r="B687" i="46"/>
  <c r="B590" i="46"/>
  <c r="B420" i="46"/>
  <c r="B298" i="46"/>
  <c r="B122" i="46"/>
  <c r="L12" i="44"/>
  <c r="B1006" i="46"/>
  <c r="B953" i="46"/>
  <c r="B898" i="46"/>
  <c r="B862" i="46"/>
  <c r="B807" i="46"/>
  <c r="B770" i="46"/>
  <c r="B706" i="46"/>
  <c r="B660" i="46"/>
  <c r="B612" i="46"/>
  <c r="B563" i="46"/>
  <c r="B490" i="46"/>
  <c r="B466" i="46"/>
  <c r="B417" i="46"/>
  <c r="B343" i="46"/>
  <c r="B319" i="46"/>
  <c r="B294" i="46"/>
  <c r="B206" i="46"/>
  <c r="B177" i="46"/>
  <c r="B119" i="46"/>
  <c r="B30" i="46"/>
  <c r="B988" i="46"/>
  <c r="B914" i="46"/>
  <c r="B841" i="46"/>
  <c r="B767" i="46"/>
  <c r="B703" i="46"/>
  <c r="B633" i="46"/>
  <c r="B559" i="46"/>
  <c r="B511" i="46"/>
  <c r="B462" i="46"/>
  <c r="B413" i="46"/>
  <c r="B365" i="46"/>
  <c r="B340" i="46"/>
  <c r="B261" i="46"/>
  <c r="B203" i="46"/>
  <c r="B145" i="46"/>
  <c r="B1004" i="46"/>
  <c r="B985" i="46"/>
  <c r="B967" i="46"/>
  <c r="B949" i="46"/>
  <c r="B930" i="46"/>
  <c r="B912" i="46"/>
  <c r="B894" i="46"/>
  <c r="B876" i="46"/>
  <c r="B857" i="46"/>
  <c r="B839" i="46"/>
  <c r="B821" i="46"/>
  <c r="B802" i="46"/>
  <c r="B784" i="46"/>
  <c r="B765" i="46"/>
  <c r="B743" i="46"/>
  <c r="B722" i="46"/>
  <c r="B701" i="46"/>
  <c r="B678" i="46"/>
  <c r="B654" i="46"/>
  <c r="B630" i="46"/>
  <c r="B605" i="46"/>
  <c r="B581" i="46"/>
  <c r="B557" i="46"/>
  <c r="B532" i="46"/>
  <c r="B508" i="46"/>
  <c r="B484" i="46"/>
  <c r="B459" i="46"/>
  <c r="B435" i="46"/>
  <c r="B411" i="46"/>
  <c r="B386" i="46"/>
  <c r="B362" i="46"/>
  <c r="B338" i="46"/>
  <c r="B313" i="46"/>
  <c r="B286" i="46"/>
  <c r="B258" i="46"/>
  <c r="B229" i="46"/>
  <c r="B199" i="46"/>
  <c r="B170" i="46"/>
  <c r="B140" i="46"/>
  <c r="B111" i="46"/>
  <c r="B83" i="46"/>
  <c r="B53" i="46"/>
  <c r="B23" i="46"/>
  <c r="B6" i="46"/>
  <c r="B349" i="46"/>
  <c r="B273" i="46"/>
  <c r="B213" i="46"/>
  <c r="B126" i="46"/>
  <c r="B67" i="46"/>
  <c r="B956" i="46"/>
  <c r="B919" i="46"/>
  <c r="B846" i="46"/>
  <c r="B828" i="46"/>
  <c r="B773" i="46"/>
  <c r="B709" i="46"/>
  <c r="B663" i="46"/>
  <c r="B566" i="46"/>
  <c r="B517" i="46"/>
  <c r="B468" i="46"/>
  <c r="B395" i="46"/>
  <c r="B371" i="46"/>
  <c r="B268" i="46"/>
  <c r="B239" i="46"/>
  <c r="B181" i="46"/>
  <c r="B151" i="46"/>
  <c r="B35" i="46"/>
  <c r="B969" i="46"/>
  <c r="B896" i="46"/>
  <c r="B786" i="46"/>
  <c r="B609" i="46"/>
  <c r="B1001" i="46"/>
  <c r="B983" i="46"/>
  <c r="B965" i="46"/>
  <c r="B946" i="46"/>
  <c r="B928" i="46"/>
  <c r="B910" i="46"/>
  <c r="B892" i="46"/>
  <c r="B873" i="46"/>
  <c r="B855" i="46"/>
  <c r="B837" i="46"/>
  <c r="B818" i="46"/>
  <c r="B800" i="46"/>
  <c r="B782" i="46"/>
  <c r="B762" i="46"/>
  <c r="B741" i="46"/>
  <c r="B719" i="46"/>
  <c r="B698" i="46"/>
  <c r="B676" i="46"/>
  <c r="B651" i="46"/>
  <c r="B627" i="46"/>
  <c r="B603" i="46"/>
  <c r="B578" i="46"/>
  <c r="B554" i="46"/>
  <c r="B530" i="46"/>
  <c r="B505" i="46"/>
  <c r="B481" i="46"/>
  <c r="B457" i="46"/>
  <c r="B431" i="46"/>
  <c r="B407" i="46"/>
  <c r="B383" i="46"/>
  <c r="B358" i="46"/>
  <c r="B334" i="46"/>
  <c r="B310" i="46"/>
  <c r="B284" i="46"/>
  <c r="B254" i="46"/>
  <c r="B225" i="46"/>
  <c r="B195" i="46"/>
  <c r="B166" i="46"/>
  <c r="B138" i="46"/>
  <c r="B108" i="46"/>
  <c r="B78" i="46"/>
  <c r="B49" i="46"/>
  <c r="B20" i="46"/>
  <c r="L16" i="44"/>
  <c r="B325" i="46"/>
  <c r="B243" i="46"/>
  <c r="B156" i="46"/>
  <c r="B38" i="46"/>
  <c r="B992" i="46"/>
  <c r="B937" i="46"/>
  <c r="B882" i="46"/>
  <c r="B809" i="46"/>
  <c r="B730" i="46"/>
  <c r="B639" i="46"/>
  <c r="B541" i="46"/>
  <c r="B444" i="46"/>
  <c r="B347" i="46"/>
  <c r="B211" i="46"/>
  <c r="B65" i="46"/>
  <c r="B990" i="46"/>
  <c r="B935" i="46"/>
  <c r="B880" i="46"/>
  <c r="B844" i="46"/>
  <c r="B789" i="46"/>
  <c r="B749" i="46"/>
  <c r="B685" i="46"/>
  <c r="B587" i="46"/>
  <c r="B514" i="46"/>
  <c r="B441" i="46"/>
  <c r="B367" i="46"/>
  <c r="B266" i="46"/>
  <c r="B148" i="46"/>
  <c r="B60" i="46"/>
  <c r="B1005" i="46"/>
  <c r="B951" i="46"/>
  <c r="B878" i="46"/>
  <c r="B823" i="46"/>
  <c r="B746" i="46"/>
  <c r="B658" i="46"/>
  <c r="B535" i="46"/>
  <c r="B438" i="46"/>
  <c r="B316" i="46"/>
  <c r="L5" i="44"/>
  <c r="B999" i="46"/>
  <c r="B981" i="46"/>
  <c r="B962" i="46"/>
  <c r="B944" i="46"/>
  <c r="B926" i="46"/>
  <c r="B908" i="46"/>
  <c r="B889" i="46"/>
  <c r="B871" i="46"/>
  <c r="B853" i="46"/>
  <c r="B834" i="46"/>
  <c r="B816" i="46"/>
  <c r="B798" i="46"/>
  <c r="B780" i="46"/>
  <c r="B759" i="46"/>
  <c r="B738" i="46"/>
  <c r="B717" i="46"/>
  <c r="B695" i="46"/>
  <c r="B673" i="46"/>
  <c r="B649" i="46"/>
  <c r="B623" i="46"/>
  <c r="B599" i="46"/>
  <c r="B575" i="46"/>
  <c r="B550" i="46"/>
  <c r="B526" i="46"/>
  <c r="B502" i="46"/>
  <c r="B477" i="46"/>
  <c r="B453" i="46"/>
  <c r="B429" i="46"/>
  <c r="B404" i="46"/>
  <c r="B380" i="46"/>
  <c r="B356" i="46"/>
  <c r="B331" i="46"/>
  <c r="B307" i="46"/>
  <c r="B279" i="46"/>
  <c r="B250" i="46"/>
  <c r="B221" i="46"/>
  <c r="B193" i="46"/>
  <c r="B163" i="46"/>
  <c r="B133" i="46"/>
  <c r="B103" i="46"/>
  <c r="B75" i="46"/>
  <c r="B46" i="46"/>
  <c r="B17" i="46"/>
  <c r="J10" i="46"/>
  <c r="B15" i="51" l="1"/>
  <c r="D15" i="51"/>
  <c r="C15" i="51"/>
  <c r="E15" i="51"/>
  <c r="F15" i="51"/>
  <c r="G15" i="51"/>
  <c r="H15" i="51"/>
  <c r="I15" i="51"/>
  <c r="J15" i="51"/>
  <c r="K15" i="51"/>
  <c r="L15" i="51"/>
  <c r="C54" i="50"/>
  <c r="C38" i="50" s="1"/>
  <c r="C41" i="50" s="1"/>
  <c r="G54" i="50"/>
  <c r="G38" i="50" s="1"/>
  <c r="G41" i="50" s="1"/>
  <c r="D54" i="50"/>
  <c r="D38" i="50" s="1"/>
  <c r="D41" i="50" s="1"/>
  <c r="E54" i="50"/>
  <c r="E38" i="50" s="1"/>
  <c r="E41" i="50" s="1"/>
  <c r="F54" i="50"/>
  <c r="F38" i="50" s="1"/>
  <c r="F41" i="50" s="1"/>
  <c r="L104" i="49"/>
  <c r="N104" i="49"/>
  <c r="K104" i="49"/>
  <c r="O93" i="49"/>
  <c r="O104" i="49" s="1"/>
  <c r="C104" i="49"/>
  <c r="B8" i="46"/>
  <c r="C42" i="50" l="1"/>
  <c r="G4" i="20"/>
  <c r="B4" i="20" s="1"/>
  <c r="F186" i="24" l="1"/>
  <c r="F173" i="24"/>
  <c r="F174" i="24"/>
  <c r="F175" i="24"/>
  <c r="F176" i="24"/>
  <c r="F177" i="24"/>
  <c r="F178" i="24"/>
  <c r="F179" i="24"/>
  <c r="F180" i="24"/>
  <c r="F181" i="24"/>
  <c r="F182" i="24"/>
  <c r="F183" i="24"/>
  <c r="F172" i="24"/>
  <c r="F169" i="24"/>
  <c r="F170" i="24"/>
  <c r="F168" i="24"/>
  <c r="F166" i="24"/>
  <c r="F159" i="24"/>
  <c r="F146" i="24"/>
  <c r="F147" i="24"/>
  <c r="F148" i="24"/>
  <c r="F149" i="24"/>
  <c r="F150" i="24"/>
  <c r="F151" i="24"/>
  <c r="F152" i="24"/>
  <c r="F153" i="24"/>
  <c r="F154" i="24"/>
  <c r="F155" i="24"/>
  <c r="F156" i="24"/>
  <c r="F157" i="24"/>
  <c r="F145" i="24"/>
  <c r="F142" i="24"/>
  <c r="F143" i="24"/>
  <c r="F141" i="24"/>
  <c r="F139" i="24"/>
  <c r="F132" i="24"/>
  <c r="F119" i="24"/>
  <c r="F120" i="24"/>
  <c r="F121" i="24"/>
  <c r="F122" i="24"/>
  <c r="F123" i="24"/>
  <c r="F124" i="24"/>
  <c r="F125" i="24"/>
  <c r="F126" i="24"/>
  <c r="F127" i="24"/>
  <c r="F128" i="24"/>
  <c r="F129" i="24"/>
  <c r="F130" i="24"/>
  <c r="F118" i="24"/>
  <c r="F115" i="24"/>
  <c r="F116" i="24"/>
  <c r="F114" i="24"/>
  <c r="F112" i="24"/>
  <c r="F105" i="24"/>
  <c r="F92" i="24"/>
  <c r="F93" i="24"/>
  <c r="F94" i="24"/>
  <c r="F95" i="24"/>
  <c r="F96" i="24"/>
  <c r="F97" i="24"/>
  <c r="F98" i="24"/>
  <c r="F99" i="24"/>
  <c r="F100" i="24"/>
  <c r="F101" i="24"/>
  <c r="F102" i="24"/>
  <c r="F103" i="24"/>
  <c r="F91" i="24"/>
  <c r="F88" i="24"/>
  <c r="F89" i="24"/>
  <c r="F87" i="24"/>
  <c r="F85" i="24"/>
  <c r="F78" i="24"/>
  <c r="F65" i="24"/>
  <c r="F66" i="24"/>
  <c r="F67" i="24"/>
  <c r="F68" i="24"/>
  <c r="F69" i="24"/>
  <c r="F70" i="24"/>
  <c r="F71" i="24"/>
  <c r="F72" i="24"/>
  <c r="F73" i="24"/>
  <c r="F74" i="24"/>
  <c r="F75" i="24"/>
  <c r="F76" i="24"/>
  <c r="F64" i="24"/>
  <c r="F61" i="24"/>
  <c r="F62" i="24"/>
  <c r="F60" i="24"/>
  <c r="F58" i="24"/>
  <c r="F51" i="24"/>
  <c r="F38" i="24"/>
  <c r="F39" i="24"/>
  <c r="F40" i="24"/>
  <c r="F41" i="24"/>
  <c r="F42" i="24"/>
  <c r="F43" i="24"/>
  <c r="F44" i="24"/>
  <c r="F45" i="24"/>
  <c r="F46" i="24"/>
  <c r="F47" i="24"/>
  <c r="F48" i="24"/>
  <c r="F49" i="24"/>
  <c r="F37" i="24"/>
  <c r="F34" i="24"/>
  <c r="F35" i="24"/>
  <c r="F33" i="24"/>
  <c r="F31" i="24"/>
  <c r="E168" i="24"/>
  <c r="E169" i="24"/>
  <c r="E170" i="24"/>
  <c r="E172" i="24"/>
  <c r="E173" i="24"/>
  <c r="E174" i="24"/>
  <c r="E175" i="24"/>
  <c r="E176" i="24"/>
  <c r="E177" i="24"/>
  <c r="E178" i="24"/>
  <c r="E179" i="24"/>
  <c r="E180" i="24"/>
  <c r="E181" i="24"/>
  <c r="E182" i="24"/>
  <c r="E183" i="24"/>
  <c r="E184" i="24"/>
  <c r="E186" i="24"/>
  <c r="E166" i="24"/>
  <c r="E141" i="24"/>
  <c r="E142" i="24"/>
  <c r="E143" i="24"/>
  <c r="E145" i="24"/>
  <c r="E146" i="24"/>
  <c r="E147" i="24"/>
  <c r="E148" i="24"/>
  <c r="E149" i="24"/>
  <c r="E150" i="24"/>
  <c r="E151" i="24"/>
  <c r="E152" i="24"/>
  <c r="E153" i="24"/>
  <c r="E154" i="24"/>
  <c r="E155" i="24"/>
  <c r="E156" i="24"/>
  <c r="E157" i="24"/>
  <c r="E159" i="24"/>
  <c r="E139" i="24"/>
  <c r="E114" i="24"/>
  <c r="E115" i="24"/>
  <c r="E116" i="24"/>
  <c r="E118" i="24"/>
  <c r="E119" i="24"/>
  <c r="E120" i="24"/>
  <c r="E121" i="24"/>
  <c r="E122" i="24"/>
  <c r="E123" i="24"/>
  <c r="E124" i="24"/>
  <c r="E125" i="24"/>
  <c r="E126" i="24"/>
  <c r="E127" i="24"/>
  <c r="E128" i="24"/>
  <c r="E129" i="24"/>
  <c r="E130" i="24"/>
  <c r="E132" i="24"/>
  <c r="E112" i="24"/>
  <c r="E87" i="24"/>
  <c r="E88" i="24"/>
  <c r="E89" i="24"/>
  <c r="E91" i="24"/>
  <c r="E92" i="24"/>
  <c r="E93" i="24"/>
  <c r="E94" i="24"/>
  <c r="E95" i="24"/>
  <c r="E96" i="24"/>
  <c r="E97" i="24"/>
  <c r="E98" i="24"/>
  <c r="E99" i="24"/>
  <c r="E100" i="24"/>
  <c r="E101" i="24"/>
  <c r="E102" i="24"/>
  <c r="E103" i="24"/>
  <c r="E105" i="24"/>
  <c r="E85" i="24"/>
  <c r="E60" i="24"/>
  <c r="E61" i="24"/>
  <c r="E62" i="24"/>
  <c r="E64" i="24"/>
  <c r="E65" i="24"/>
  <c r="E66" i="24"/>
  <c r="E67" i="24"/>
  <c r="E68" i="24"/>
  <c r="E69" i="24"/>
  <c r="E70" i="24"/>
  <c r="E71" i="24"/>
  <c r="E72" i="24"/>
  <c r="E73" i="24"/>
  <c r="E74" i="24"/>
  <c r="E75" i="24"/>
  <c r="E76" i="24"/>
  <c r="E78" i="24"/>
  <c r="E58" i="24"/>
  <c r="C5" i="20" l="1"/>
  <c r="B22" i="34"/>
  <c r="B10" i="30"/>
  <c r="G8" i="30"/>
  <c r="G7" i="30"/>
  <c r="F8" i="30"/>
  <c r="F7" i="30"/>
  <c r="E8" i="30"/>
  <c r="E7" i="30"/>
  <c r="D8" i="30"/>
  <c r="D7" i="30"/>
  <c r="C8" i="30"/>
  <c r="C7" i="30"/>
  <c r="B8" i="30"/>
  <c r="B7" i="30"/>
  <c r="B8" i="40"/>
  <c r="B7" i="40"/>
  <c r="B6" i="40"/>
  <c r="B5" i="40"/>
  <c r="B4" i="40"/>
  <c r="N31" i="24"/>
  <c r="N32" i="24"/>
  <c r="N33" i="24"/>
  <c r="N34" i="24"/>
  <c r="N35" i="24"/>
  <c r="N30" i="24"/>
  <c r="V6" i="31"/>
  <c r="C18" i="40" l="1"/>
  <c r="B18" i="40"/>
  <c r="G59" i="19"/>
  <c r="G58" i="19"/>
  <c r="G57" i="19"/>
  <c r="G51" i="19"/>
  <c r="F51" i="19"/>
  <c r="G50" i="19"/>
  <c r="F50" i="19"/>
  <c r="G49" i="19"/>
  <c r="F49" i="19"/>
  <c r="G48" i="19"/>
  <c r="F48" i="19"/>
  <c r="G47" i="19"/>
  <c r="F47" i="19"/>
  <c r="G41" i="19"/>
  <c r="F41" i="19"/>
  <c r="G40" i="19"/>
  <c r="F40" i="19"/>
  <c r="G39" i="19"/>
  <c r="F39" i="19"/>
  <c r="G38" i="19"/>
  <c r="F38" i="19"/>
  <c r="G37" i="19"/>
  <c r="F37" i="19"/>
  <c r="J25" i="39" l="1"/>
  <c r="K25" i="39" s="1"/>
  <c r="I9" i="39"/>
  <c r="J8" i="39"/>
  <c r="J6" i="39"/>
  <c r="I6" i="39"/>
  <c r="J9" i="39"/>
  <c r="I8" i="39"/>
  <c r="J5" i="39"/>
  <c r="G12" i="39"/>
  <c r="J7" i="39"/>
  <c r="I7" i="39"/>
  <c r="I5" i="39"/>
  <c r="I10" i="39" l="1"/>
  <c r="B16" i="39"/>
  <c r="D16" i="39" s="1"/>
  <c r="B18" i="39"/>
  <c r="D18" i="39" s="1"/>
  <c r="C18" i="39"/>
  <c r="E18" i="39" s="1"/>
  <c r="C16" i="39"/>
  <c r="E16" i="39" s="1"/>
  <c r="J10" i="39"/>
  <c r="B19" i="39"/>
  <c r="D19" i="39" s="1"/>
  <c r="C20" i="39"/>
  <c r="E20" i="39" s="1"/>
  <c r="B17" i="39"/>
  <c r="D17" i="39" s="1"/>
  <c r="C17" i="39"/>
  <c r="E17" i="39" s="1"/>
  <c r="C19" i="39"/>
  <c r="E19" i="39" s="1"/>
  <c r="B20" i="39"/>
  <c r="D20" i="39" s="1"/>
  <c r="F20" i="39" s="1"/>
  <c r="G20" i="39" s="1"/>
  <c r="H20" i="39" l="1"/>
  <c r="I20" i="39" s="1"/>
  <c r="F18" i="39"/>
  <c r="G18" i="39" s="1"/>
  <c r="F17" i="39"/>
  <c r="F16" i="39"/>
  <c r="F19" i="39"/>
  <c r="G19" i="39" s="1"/>
  <c r="H19" i="39" l="1"/>
  <c r="I19" i="39" s="1"/>
  <c r="G16" i="39"/>
  <c r="G17" i="39"/>
  <c r="H18" i="39"/>
  <c r="I18" i="39" s="1"/>
  <c r="H17" i="39" l="1"/>
  <c r="I17" i="39" s="1"/>
  <c r="H16" i="39"/>
  <c r="I16" i="39" s="1"/>
  <c r="B16" i="16" l="1"/>
  <c r="B9" i="34"/>
  <c r="B8" i="34"/>
  <c r="B7" i="34"/>
  <c r="B6" i="34"/>
  <c r="B5" i="34"/>
  <c r="B4" i="34"/>
  <c r="C38" i="31"/>
  <c r="D9" i="31"/>
  <c r="E9" i="31"/>
  <c r="F9" i="31"/>
  <c r="G9" i="31"/>
  <c r="H9" i="31"/>
  <c r="I9" i="31"/>
  <c r="J9" i="31"/>
  <c r="K9" i="31"/>
  <c r="L9" i="31"/>
  <c r="M9" i="31"/>
  <c r="N9" i="31"/>
  <c r="O9" i="31"/>
  <c r="O10" i="31"/>
  <c r="R136" i="31"/>
  <c r="R111" i="31"/>
  <c r="R85" i="31"/>
  <c r="R57" i="31"/>
  <c r="R36" i="31"/>
  <c r="R12" i="31"/>
  <c r="C20" i="31" s="1"/>
  <c r="O20" i="31" s="1"/>
  <c r="B48" i="38"/>
  <c r="H45" i="38"/>
  <c r="G45" i="38"/>
  <c r="F45" i="38"/>
  <c r="E44" i="38"/>
  <c r="F43" i="38"/>
  <c r="G43" i="38" s="1"/>
  <c r="H43" i="38" s="1"/>
  <c r="G38" i="38"/>
  <c r="H38" i="38" s="1"/>
  <c r="H44" i="38" s="1"/>
  <c r="F38" i="38"/>
  <c r="F37" i="38"/>
  <c r="G37" i="38" s="1"/>
  <c r="H37" i="38" s="1"/>
  <c r="H36" i="38"/>
  <c r="G36" i="38"/>
  <c r="F36" i="38"/>
  <c r="F35" i="38"/>
  <c r="F44" i="38" s="1"/>
  <c r="C29" i="38"/>
  <c r="F28" i="38"/>
  <c r="G28" i="38" s="1"/>
  <c r="D28" i="38"/>
  <c r="E28" i="38" s="1"/>
  <c r="B28" i="38"/>
  <c r="C28" i="38" s="1"/>
  <c r="B27" i="38"/>
  <c r="C27" i="38" s="1"/>
  <c r="D27" i="38" s="1"/>
  <c r="E27" i="38" s="1"/>
  <c r="F27" i="38" s="1"/>
  <c r="G27" i="38" s="1"/>
  <c r="E25" i="38"/>
  <c r="F25" i="38" s="1"/>
  <c r="G25" i="38" s="1"/>
  <c r="C25" i="38"/>
  <c r="D25" i="38" s="1"/>
  <c r="D24" i="38"/>
  <c r="E24" i="38" s="1"/>
  <c r="F24" i="38" s="1"/>
  <c r="G24" i="38" s="1"/>
  <c r="C24" i="38"/>
  <c r="E23" i="38"/>
  <c r="F23" i="38" s="1"/>
  <c r="D23" i="38"/>
  <c r="C23" i="38"/>
  <c r="C22" i="38"/>
  <c r="D22" i="38" s="1"/>
  <c r="E21" i="38"/>
  <c r="D21" i="38"/>
  <c r="C21" i="38"/>
  <c r="G15" i="38"/>
  <c r="F15" i="38"/>
  <c r="D15" i="38"/>
  <c r="C15" i="38"/>
  <c r="E14" i="38"/>
  <c r="B8" i="38"/>
  <c r="E7" i="38"/>
  <c r="B7" i="38"/>
  <c r="E6" i="38"/>
  <c r="B6" i="38"/>
  <c r="E5" i="38"/>
  <c r="B5" i="38"/>
  <c r="E4" i="38"/>
  <c r="B4" i="38"/>
  <c r="B86" i="37"/>
  <c r="B85" i="37"/>
  <c r="B89" i="37" s="1"/>
  <c r="F75" i="37"/>
  <c r="G75" i="37" s="1"/>
  <c r="F74" i="37"/>
  <c r="G74" i="37" s="1"/>
  <c r="F73" i="37"/>
  <c r="G73" i="37" s="1"/>
  <c r="F72" i="37"/>
  <c r="G72" i="37" s="1"/>
  <c r="G71" i="37"/>
  <c r="G70" i="37"/>
  <c r="G69" i="37"/>
  <c r="F68" i="37"/>
  <c r="G68" i="37" s="1"/>
  <c r="G67" i="37"/>
  <c r="G66" i="37"/>
  <c r="G65" i="37"/>
  <c r="G64" i="37"/>
  <c r="G63" i="37"/>
  <c r="G62" i="37"/>
  <c r="G61" i="37"/>
  <c r="G60" i="37"/>
  <c r="G59" i="37"/>
  <c r="G58" i="37"/>
  <c r="G57" i="37"/>
  <c r="G56" i="37"/>
  <c r="G55" i="37"/>
  <c r="G54" i="37"/>
  <c r="D48" i="37"/>
  <c r="D47" i="37"/>
  <c r="D46" i="37"/>
  <c r="D45" i="37"/>
  <c r="D37" i="37"/>
  <c r="D36" i="37"/>
  <c r="D35" i="37"/>
  <c r="D34" i="37"/>
  <c r="D26" i="37"/>
  <c r="D25" i="37"/>
  <c r="D24" i="37"/>
  <c r="D16" i="37"/>
  <c r="D15" i="37"/>
  <c r="D7" i="37"/>
  <c r="D6" i="37"/>
  <c r="M83" i="34"/>
  <c r="L83" i="34"/>
  <c r="K83" i="34"/>
  <c r="J83" i="34"/>
  <c r="I83" i="34"/>
  <c r="H83" i="34"/>
  <c r="G83" i="34"/>
  <c r="F83" i="34"/>
  <c r="E83" i="34"/>
  <c r="D83" i="34"/>
  <c r="C83" i="34"/>
  <c r="B83" i="34"/>
  <c r="M82" i="34"/>
  <c r="L82" i="34"/>
  <c r="K82" i="34"/>
  <c r="J82" i="34"/>
  <c r="I82" i="34"/>
  <c r="H82" i="34"/>
  <c r="G82" i="34"/>
  <c r="F82" i="34"/>
  <c r="E82" i="34"/>
  <c r="D82" i="34"/>
  <c r="C82" i="34"/>
  <c r="B82" i="34"/>
  <c r="M81" i="34"/>
  <c r="L81" i="34"/>
  <c r="K81" i="34"/>
  <c r="J81" i="34"/>
  <c r="I81" i="34"/>
  <c r="H81" i="34"/>
  <c r="G81" i="34"/>
  <c r="F81" i="34"/>
  <c r="E81" i="34"/>
  <c r="D81" i="34"/>
  <c r="C81" i="34"/>
  <c r="B81" i="34"/>
  <c r="M80" i="34"/>
  <c r="L80" i="34"/>
  <c r="K80" i="34"/>
  <c r="J80" i="34"/>
  <c r="I80" i="34"/>
  <c r="H80" i="34"/>
  <c r="G80" i="34"/>
  <c r="F80" i="34"/>
  <c r="E80" i="34"/>
  <c r="D80" i="34"/>
  <c r="C80" i="34"/>
  <c r="B80" i="34"/>
  <c r="M79" i="34"/>
  <c r="L79" i="34"/>
  <c r="K79" i="34"/>
  <c r="J79" i="34"/>
  <c r="I79" i="34"/>
  <c r="H79" i="34"/>
  <c r="G79" i="34"/>
  <c r="F79" i="34"/>
  <c r="E79" i="34"/>
  <c r="D79" i="34"/>
  <c r="C79" i="34"/>
  <c r="B79" i="34"/>
  <c r="M78" i="34"/>
  <c r="L78" i="34"/>
  <c r="D60" i="34"/>
  <c r="F52" i="34"/>
  <c r="E52" i="34"/>
  <c r="D51" i="34"/>
  <c r="C51" i="34"/>
  <c r="B51" i="34"/>
  <c r="D50" i="34"/>
  <c r="C50" i="34"/>
  <c r="B33" i="34"/>
  <c r="B19" i="14" s="1"/>
  <c r="B21" i="34"/>
  <c r="B14" i="34"/>
  <c r="G13" i="33"/>
  <c r="F13" i="33"/>
  <c r="E13" i="33"/>
  <c r="D13" i="33"/>
  <c r="C13" i="33"/>
  <c r="B13" i="33"/>
  <c r="B10" i="33"/>
  <c r="G9" i="33"/>
  <c r="F9" i="33"/>
  <c r="E9" i="33"/>
  <c r="D9" i="33"/>
  <c r="C9" i="33"/>
  <c r="G8" i="33"/>
  <c r="G52" i="14" s="1"/>
  <c r="F8" i="33"/>
  <c r="F52" i="14" s="1"/>
  <c r="E8" i="33"/>
  <c r="D8" i="33"/>
  <c r="C8" i="33"/>
  <c r="C52" i="14" s="1"/>
  <c r="G7" i="33"/>
  <c r="E7" i="33"/>
  <c r="D7" i="33"/>
  <c r="B7" i="33"/>
  <c r="G6" i="33"/>
  <c r="F6" i="33"/>
  <c r="E6" i="33"/>
  <c r="D6" i="33"/>
  <c r="C6" i="33"/>
  <c r="B6" i="33"/>
  <c r="E31" i="32"/>
  <c r="A31" i="32"/>
  <c r="C30" i="32"/>
  <c r="A30" i="32"/>
  <c r="G29" i="32"/>
  <c r="F29" i="32"/>
  <c r="E29" i="32"/>
  <c r="A29" i="32"/>
  <c r="C28" i="32"/>
  <c r="B28" i="32"/>
  <c r="A28" i="32"/>
  <c r="A27" i="32"/>
  <c r="E26" i="32"/>
  <c r="D26" i="32"/>
  <c r="D52" i="34" s="1"/>
  <c r="C26" i="32"/>
  <c r="C52" i="34" s="1"/>
  <c r="A26" i="32"/>
  <c r="C25" i="32"/>
  <c r="B25" i="32"/>
  <c r="A25" i="32"/>
  <c r="A24" i="32"/>
  <c r="A23" i="32"/>
  <c r="E22" i="32"/>
  <c r="E51" i="34" s="1"/>
  <c r="A22" i="32"/>
  <c r="E21" i="32"/>
  <c r="E50" i="34" s="1"/>
  <c r="A21" i="32"/>
  <c r="C20" i="32"/>
  <c r="A20" i="32"/>
  <c r="F16" i="32"/>
  <c r="D15" i="32"/>
  <c r="B15" i="32"/>
  <c r="B30" i="32" s="1"/>
  <c r="G14" i="32"/>
  <c r="F14" i="32"/>
  <c r="G13" i="32"/>
  <c r="E13" i="32"/>
  <c r="F13" i="32" s="1"/>
  <c r="F26" i="32" s="1"/>
  <c r="D13" i="32"/>
  <c r="B13" i="32"/>
  <c r="C12" i="32"/>
  <c r="C27" i="32" s="1"/>
  <c r="E11" i="32"/>
  <c r="D11" i="32"/>
  <c r="D28" i="32" s="1"/>
  <c r="B11" i="32"/>
  <c r="D10" i="32"/>
  <c r="E10" i="32" s="1"/>
  <c r="B10" i="32"/>
  <c r="C9" i="32"/>
  <c r="F6" i="32"/>
  <c r="F5" i="32"/>
  <c r="D4" i="32"/>
  <c r="B4" i="32"/>
  <c r="P149" i="31"/>
  <c r="O146" i="31"/>
  <c r="N146" i="31"/>
  <c r="M146" i="31"/>
  <c r="L146" i="31"/>
  <c r="K146" i="31"/>
  <c r="J146" i="31"/>
  <c r="I146" i="31"/>
  <c r="H146" i="31"/>
  <c r="G146" i="31"/>
  <c r="F146" i="31"/>
  <c r="E146" i="31"/>
  <c r="D146" i="31"/>
  <c r="R144" i="31"/>
  <c r="R143" i="31"/>
  <c r="R142" i="31"/>
  <c r="R139" i="31"/>
  <c r="R138" i="31"/>
  <c r="C145" i="31"/>
  <c r="P135" i="31"/>
  <c r="O133" i="31"/>
  <c r="N133" i="31"/>
  <c r="M133" i="31"/>
  <c r="L133" i="31"/>
  <c r="K133" i="31"/>
  <c r="J133" i="31"/>
  <c r="I133" i="31"/>
  <c r="H133" i="31"/>
  <c r="G133" i="31"/>
  <c r="F133" i="31"/>
  <c r="E133" i="31"/>
  <c r="D133" i="31"/>
  <c r="O128" i="31"/>
  <c r="N128" i="31"/>
  <c r="M128" i="31"/>
  <c r="L128" i="31"/>
  <c r="K128" i="31"/>
  <c r="J128" i="31"/>
  <c r="I128" i="31"/>
  <c r="H128" i="31"/>
  <c r="G128" i="31"/>
  <c r="F128" i="31"/>
  <c r="E128" i="31"/>
  <c r="D128" i="31"/>
  <c r="G121" i="31"/>
  <c r="F121" i="31"/>
  <c r="R119" i="31"/>
  <c r="R118" i="31"/>
  <c r="R117" i="31"/>
  <c r="R114" i="31"/>
  <c r="R113" i="31"/>
  <c r="C120" i="31"/>
  <c r="O110" i="31"/>
  <c r="O121" i="31" s="1"/>
  <c r="N110" i="31"/>
  <c r="N121" i="31" s="1"/>
  <c r="M110" i="31"/>
  <c r="M121" i="31" s="1"/>
  <c r="L110" i="31"/>
  <c r="L121" i="31" s="1"/>
  <c r="K110" i="31"/>
  <c r="K121" i="31" s="1"/>
  <c r="J110" i="31"/>
  <c r="J121" i="31" s="1"/>
  <c r="I110" i="31"/>
  <c r="I121" i="31" s="1"/>
  <c r="H110" i="31"/>
  <c r="H121" i="31" s="1"/>
  <c r="G110" i="31"/>
  <c r="F110" i="31"/>
  <c r="E110" i="31"/>
  <c r="E121" i="31" s="1"/>
  <c r="D110" i="31"/>
  <c r="D121" i="31" s="1"/>
  <c r="O108" i="31"/>
  <c r="N108" i="31"/>
  <c r="M108" i="31"/>
  <c r="L108" i="31"/>
  <c r="K108" i="31"/>
  <c r="J108" i="31"/>
  <c r="I108" i="31"/>
  <c r="H108" i="31"/>
  <c r="G108" i="31"/>
  <c r="F108" i="31"/>
  <c r="E108" i="31"/>
  <c r="D108" i="31"/>
  <c r="O103" i="31"/>
  <c r="N103" i="31"/>
  <c r="M103" i="31"/>
  <c r="L103" i="31"/>
  <c r="K103" i="31"/>
  <c r="J103" i="31"/>
  <c r="I103" i="31"/>
  <c r="H103" i="31"/>
  <c r="G103" i="31"/>
  <c r="F103" i="31"/>
  <c r="E103" i="31"/>
  <c r="D103" i="31"/>
  <c r="O96" i="31"/>
  <c r="K96" i="31"/>
  <c r="G96" i="31"/>
  <c r="R92" i="31"/>
  <c r="R91" i="31"/>
  <c r="R88" i="31"/>
  <c r="R93" i="31" s="1"/>
  <c r="R87" i="31"/>
  <c r="O85" i="31"/>
  <c r="N85" i="31"/>
  <c r="N96" i="31" s="1"/>
  <c r="M85" i="31"/>
  <c r="M96" i="31" s="1"/>
  <c r="L85" i="31"/>
  <c r="L96" i="31" s="1"/>
  <c r="K85" i="31"/>
  <c r="J85" i="31"/>
  <c r="J96" i="31" s="1"/>
  <c r="I85" i="31"/>
  <c r="I96" i="31" s="1"/>
  <c r="H85" i="31"/>
  <c r="H96" i="31" s="1"/>
  <c r="G85" i="31"/>
  <c r="F85" i="31"/>
  <c r="F96" i="31" s="1"/>
  <c r="E85" i="31"/>
  <c r="E96" i="31" s="1"/>
  <c r="D85" i="31"/>
  <c r="D96" i="31" s="1"/>
  <c r="O83" i="31"/>
  <c r="N83" i="31"/>
  <c r="M83" i="31"/>
  <c r="L83" i="31"/>
  <c r="K83" i="31"/>
  <c r="J83" i="31"/>
  <c r="I83" i="31"/>
  <c r="H83" i="31"/>
  <c r="G83" i="31"/>
  <c r="F83" i="31"/>
  <c r="E83" i="31"/>
  <c r="D83" i="31"/>
  <c r="O78" i="31"/>
  <c r="N78" i="31"/>
  <c r="M78" i="31"/>
  <c r="L78" i="31"/>
  <c r="K78" i="31"/>
  <c r="J78" i="31"/>
  <c r="I78" i="31"/>
  <c r="H78" i="31"/>
  <c r="G78" i="31"/>
  <c r="F78" i="31"/>
  <c r="E78" i="31"/>
  <c r="D78" i="31"/>
  <c r="R64" i="31"/>
  <c r="R63" i="31"/>
  <c r="R60" i="31"/>
  <c r="R65" i="31" s="1"/>
  <c r="R59" i="31"/>
  <c r="O59" i="31"/>
  <c r="O70" i="31" s="1"/>
  <c r="N59" i="31"/>
  <c r="N70" i="31" s="1"/>
  <c r="M59" i="31"/>
  <c r="M70" i="31" s="1"/>
  <c r="L59" i="31"/>
  <c r="L70" i="31" s="1"/>
  <c r="K59" i="31"/>
  <c r="K70" i="31" s="1"/>
  <c r="J59" i="31"/>
  <c r="J70" i="31" s="1"/>
  <c r="I59" i="31"/>
  <c r="I70" i="31" s="1"/>
  <c r="H59" i="31"/>
  <c r="H70" i="31" s="1"/>
  <c r="G59" i="31"/>
  <c r="G70" i="31" s="1"/>
  <c r="F59" i="31"/>
  <c r="F70" i="31" s="1"/>
  <c r="E59" i="31"/>
  <c r="E70" i="31" s="1"/>
  <c r="D59" i="31"/>
  <c r="C69" i="31"/>
  <c r="O57" i="31"/>
  <c r="N57" i="31"/>
  <c r="M57" i="31"/>
  <c r="L57" i="31"/>
  <c r="K57" i="31"/>
  <c r="J57" i="31"/>
  <c r="I57" i="31"/>
  <c r="H57" i="31"/>
  <c r="G57" i="31"/>
  <c r="F57" i="31"/>
  <c r="E57" i="31"/>
  <c r="D57" i="31"/>
  <c r="O52" i="31"/>
  <c r="N52" i="31"/>
  <c r="M52" i="31"/>
  <c r="L52" i="31"/>
  <c r="K52" i="31"/>
  <c r="J52" i="31"/>
  <c r="I52" i="31"/>
  <c r="H52" i="31"/>
  <c r="G52" i="31"/>
  <c r="F52" i="31"/>
  <c r="E52" i="31"/>
  <c r="D52" i="31"/>
  <c r="K45" i="31"/>
  <c r="R44" i="31"/>
  <c r="C44" i="31"/>
  <c r="R42" i="31"/>
  <c r="R40" i="31"/>
  <c r="R41" i="31" s="1"/>
  <c r="O34" i="31"/>
  <c r="O45" i="31" s="1"/>
  <c r="N34" i="31"/>
  <c r="N45" i="31" s="1"/>
  <c r="M34" i="31"/>
  <c r="M45" i="31" s="1"/>
  <c r="L34" i="31"/>
  <c r="L45" i="31" s="1"/>
  <c r="K34" i="31"/>
  <c r="J34" i="31"/>
  <c r="J45" i="31" s="1"/>
  <c r="I34" i="31"/>
  <c r="I45" i="31" s="1"/>
  <c r="H34" i="31"/>
  <c r="H45" i="31" s="1"/>
  <c r="G34" i="31"/>
  <c r="G45" i="31" s="1"/>
  <c r="F34" i="31"/>
  <c r="F45" i="31" s="1"/>
  <c r="E34" i="31"/>
  <c r="E45" i="31" s="1"/>
  <c r="D34" i="31"/>
  <c r="D45" i="31" s="1"/>
  <c r="O32" i="31"/>
  <c r="N32" i="31"/>
  <c r="M32" i="31"/>
  <c r="L32" i="31"/>
  <c r="K32" i="31"/>
  <c r="J32" i="31"/>
  <c r="I32" i="31"/>
  <c r="H32" i="31"/>
  <c r="G32" i="31"/>
  <c r="F32" i="31"/>
  <c r="E32" i="31"/>
  <c r="D32" i="31"/>
  <c r="P27" i="31"/>
  <c r="N21" i="31"/>
  <c r="L21" i="31"/>
  <c r="J21" i="31"/>
  <c r="F21" i="31"/>
  <c r="R20" i="31"/>
  <c r="R21" i="31" s="1"/>
  <c r="R18" i="31"/>
  <c r="R16" i="31"/>
  <c r="M7" i="31" s="1"/>
  <c r="AA13" i="31"/>
  <c r="Z13" i="31"/>
  <c r="Y13" i="31"/>
  <c r="X13" i="31"/>
  <c r="W13" i="31"/>
  <c r="O21" i="31"/>
  <c r="N10" i="31"/>
  <c r="M10" i="31"/>
  <c r="M21" i="31" s="1"/>
  <c r="L10" i="31"/>
  <c r="K10" i="31"/>
  <c r="K21" i="31" s="1"/>
  <c r="J10" i="31"/>
  <c r="I10" i="31"/>
  <c r="I21" i="31" s="1"/>
  <c r="H10" i="31"/>
  <c r="H21" i="31" s="1"/>
  <c r="G10" i="31"/>
  <c r="G21" i="31" s="1"/>
  <c r="F10" i="31"/>
  <c r="E10" i="31"/>
  <c r="E21" i="31" s="1"/>
  <c r="D10" i="31"/>
  <c r="D21" i="31" s="1"/>
  <c r="O8" i="31"/>
  <c r="N8" i="31"/>
  <c r="M8" i="31"/>
  <c r="L8" i="31"/>
  <c r="K8" i="31"/>
  <c r="J8" i="31"/>
  <c r="I8" i="31"/>
  <c r="H8" i="31"/>
  <c r="G8" i="31"/>
  <c r="F8" i="31"/>
  <c r="E8" i="31"/>
  <c r="D8" i="31"/>
  <c r="C18" i="31"/>
  <c r="B15" i="34" s="1"/>
  <c r="D22" i="30"/>
  <c r="E21" i="30"/>
  <c r="C21" i="30"/>
  <c r="E20" i="30"/>
  <c r="C20" i="30"/>
  <c r="E19" i="30"/>
  <c r="C19" i="30"/>
  <c r="E18" i="30"/>
  <c r="E23" i="30" s="1"/>
  <c r="C18" i="30"/>
  <c r="B11" i="30"/>
  <c r="F77" i="29"/>
  <c r="F76" i="29"/>
  <c r="F75" i="29"/>
  <c r="F74" i="29"/>
  <c r="F73" i="29"/>
  <c r="F72" i="29"/>
  <c r="F71" i="29"/>
  <c r="F70" i="29"/>
  <c r="F69" i="29"/>
  <c r="B43" i="29"/>
  <c r="B8" i="33" s="1"/>
  <c r="C11" i="29"/>
  <c r="C10" i="29"/>
  <c r="B6" i="29"/>
  <c r="B5" i="29"/>
  <c r="D29" i="28"/>
  <c r="C28" i="28"/>
  <c r="C30" i="28" s="1"/>
  <c r="B11" i="26"/>
  <c r="I7" i="25"/>
  <c r="J6" i="25"/>
  <c r="J7" i="25" s="1"/>
  <c r="I6" i="25"/>
  <c r="D187" i="24"/>
  <c r="G186" i="24"/>
  <c r="F185" i="24"/>
  <c r="G184" i="24"/>
  <c r="F184" i="24"/>
  <c r="G183" i="24"/>
  <c r="G181" i="24"/>
  <c r="G180" i="24"/>
  <c r="G179" i="24"/>
  <c r="G178" i="24"/>
  <c r="G177" i="24"/>
  <c r="E187" i="24"/>
  <c r="G176" i="24"/>
  <c r="G175" i="24"/>
  <c r="G174" i="24"/>
  <c r="G173" i="24"/>
  <c r="G172" i="24"/>
  <c r="G170" i="24"/>
  <c r="G169" i="24"/>
  <c r="G168" i="24"/>
  <c r="E160" i="24"/>
  <c r="D160" i="24"/>
  <c r="G159" i="24"/>
  <c r="F158" i="24"/>
  <c r="G157" i="24"/>
  <c r="G156" i="24"/>
  <c r="G155" i="24"/>
  <c r="G154" i="24"/>
  <c r="G153" i="24"/>
  <c r="G152" i="24"/>
  <c r="G151" i="24"/>
  <c r="G150" i="24"/>
  <c r="G149" i="24"/>
  <c r="G148" i="24"/>
  <c r="G147" i="24"/>
  <c r="G146" i="24"/>
  <c r="G143" i="24"/>
  <c r="G142" i="24"/>
  <c r="G139" i="24"/>
  <c r="F138" i="24"/>
  <c r="D133" i="24"/>
  <c r="G132" i="24"/>
  <c r="G130" i="24"/>
  <c r="G129" i="24"/>
  <c r="G128" i="24"/>
  <c r="G127" i="24"/>
  <c r="G126" i="24"/>
  <c r="G125" i="24"/>
  <c r="G124" i="24"/>
  <c r="G122" i="24"/>
  <c r="G121" i="24"/>
  <c r="G120" i="24"/>
  <c r="G119" i="24"/>
  <c r="G118" i="24"/>
  <c r="G116" i="24"/>
  <c r="G115" i="24"/>
  <c r="G112" i="24"/>
  <c r="F111" i="24"/>
  <c r="D106" i="24"/>
  <c r="G103" i="24"/>
  <c r="G102" i="24"/>
  <c r="G101" i="24"/>
  <c r="G100" i="24"/>
  <c r="G99" i="24"/>
  <c r="G98" i="24"/>
  <c r="G97" i="24"/>
  <c r="G95" i="24"/>
  <c r="G94" i="24"/>
  <c r="G93" i="24"/>
  <c r="G92" i="24"/>
  <c r="G91" i="24"/>
  <c r="G89" i="24"/>
  <c r="G88" i="24"/>
  <c r="G87" i="24"/>
  <c r="D79" i="24"/>
  <c r="F77" i="24"/>
  <c r="G76" i="24"/>
  <c r="G75" i="24"/>
  <c r="G74" i="24"/>
  <c r="G73" i="24"/>
  <c r="G72" i="24"/>
  <c r="G71" i="24"/>
  <c r="G70" i="24"/>
  <c r="G69" i="24"/>
  <c r="G68" i="24"/>
  <c r="G66" i="24"/>
  <c r="G65" i="24"/>
  <c r="G64" i="24"/>
  <c r="G62" i="24"/>
  <c r="G61" i="24"/>
  <c r="F57" i="24"/>
  <c r="D52" i="24"/>
  <c r="G51" i="24"/>
  <c r="F50" i="24"/>
  <c r="G49" i="24"/>
  <c r="G48" i="24"/>
  <c r="G47" i="24"/>
  <c r="G46" i="24"/>
  <c r="G45" i="24"/>
  <c r="G44" i="24"/>
  <c r="G43" i="24"/>
  <c r="E43" i="24"/>
  <c r="E42" i="24"/>
  <c r="G41" i="24"/>
  <c r="G40" i="24"/>
  <c r="G39" i="24"/>
  <c r="G38" i="24"/>
  <c r="O34" i="24"/>
  <c r="G37" i="24"/>
  <c r="G35" i="24"/>
  <c r="G34" i="24"/>
  <c r="G31" i="24"/>
  <c r="F30" i="24"/>
  <c r="W205" i="23"/>
  <c r="Y198" i="23"/>
  <c r="Z198" i="23" s="1"/>
  <c r="V198" i="23"/>
  <c r="Y197" i="23"/>
  <c r="Z197" i="23" s="1"/>
  <c r="AB197" i="23" s="1"/>
  <c r="V197" i="23"/>
  <c r="Y196" i="23"/>
  <c r="Z196" i="23" s="1"/>
  <c r="AA196" i="23" s="1"/>
  <c r="V196" i="23"/>
  <c r="Y195" i="23"/>
  <c r="V195" i="23"/>
  <c r="U195" i="23"/>
  <c r="N234" i="23"/>
  <c r="N235" i="23" s="1"/>
  <c r="O226" i="23"/>
  <c r="N212" i="23"/>
  <c r="P203" i="23"/>
  <c r="P226" i="23" s="1"/>
  <c r="Q202" i="23"/>
  <c r="Q201" i="23"/>
  <c r="Q200" i="23"/>
  <c r="Q199" i="23"/>
  <c r="N199" i="23"/>
  <c r="P198" i="23"/>
  <c r="X156" i="23"/>
  <c r="Y149" i="23"/>
  <c r="Z149" i="23" s="1"/>
  <c r="V149" i="23"/>
  <c r="Y148" i="23"/>
  <c r="Z148" i="23" s="1"/>
  <c r="AB148" i="23" s="1"/>
  <c r="V148" i="23"/>
  <c r="Y147" i="23"/>
  <c r="Z147" i="23" s="1"/>
  <c r="V147" i="23"/>
  <c r="Y146" i="23"/>
  <c r="V146" i="23"/>
  <c r="U146" i="23"/>
  <c r="N186" i="23"/>
  <c r="N187" i="23" s="1"/>
  <c r="O177" i="23"/>
  <c r="N163" i="23"/>
  <c r="P154" i="23"/>
  <c r="P177" i="23" s="1"/>
  <c r="N153" i="23"/>
  <c r="N151" i="23"/>
  <c r="N150" i="23"/>
  <c r="P149" i="23"/>
  <c r="Y105" i="23"/>
  <c r="Y98" i="23"/>
  <c r="Z97" i="23" s="1"/>
  <c r="V98" i="23"/>
  <c r="Y97" i="23"/>
  <c r="Z96" i="23" s="1"/>
  <c r="V97" i="23"/>
  <c r="Y96" i="23"/>
  <c r="Z95" i="23" s="1"/>
  <c r="V96" i="23"/>
  <c r="Y95" i="23"/>
  <c r="V95" i="23"/>
  <c r="U95" i="23"/>
  <c r="N137" i="23"/>
  <c r="N136" i="23"/>
  <c r="O126" i="23"/>
  <c r="N112" i="23"/>
  <c r="P103" i="23"/>
  <c r="P126" i="23" s="1"/>
  <c r="Q102" i="23"/>
  <c r="N102" i="23"/>
  <c r="Q101" i="23"/>
  <c r="N101" i="23"/>
  <c r="Q100" i="23"/>
  <c r="N100" i="23"/>
  <c r="Q99" i="23"/>
  <c r="Q98" i="23" s="1"/>
  <c r="N99" i="23"/>
  <c r="P98" i="23"/>
  <c r="U55" i="23"/>
  <c r="U56" i="23" s="1"/>
  <c r="V56" i="23" s="1"/>
  <c r="AC52" i="23"/>
  <c r="N86" i="23"/>
  <c r="N85" i="23"/>
  <c r="R72" i="23"/>
  <c r="C17" i="22" s="1"/>
  <c r="N71" i="23"/>
  <c r="R65" i="23"/>
  <c r="C12" i="22" s="1"/>
  <c r="R53" i="23"/>
  <c r="P53" i="23" s="1"/>
  <c r="P75" i="23" s="1"/>
  <c r="U11" i="23"/>
  <c r="U12" i="23" s="1"/>
  <c r="V12" i="23" s="1"/>
  <c r="AC8" i="23"/>
  <c r="N40" i="23"/>
  <c r="N39" i="23"/>
  <c r="R26" i="23"/>
  <c r="B17" i="22" s="1"/>
  <c r="N25" i="23"/>
  <c r="R21" i="23"/>
  <c r="B12" i="22" s="1"/>
  <c r="R9" i="23"/>
  <c r="F17" i="22"/>
  <c r="E17" i="22"/>
  <c r="D17" i="22"/>
  <c r="F16" i="22"/>
  <c r="E16" i="22"/>
  <c r="D16" i="22"/>
  <c r="C16" i="22"/>
  <c r="B16" i="22"/>
  <c r="F14" i="22"/>
  <c r="E14" i="22"/>
  <c r="D14" i="22"/>
  <c r="C14" i="22"/>
  <c r="F13" i="22"/>
  <c r="E13" i="22"/>
  <c r="D13" i="22"/>
  <c r="C13" i="22"/>
  <c r="F12" i="22"/>
  <c r="E12" i="22"/>
  <c r="D12" i="22"/>
  <c r="F10" i="22"/>
  <c r="E10" i="22"/>
  <c r="D10" i="22"/>
  <c r="F9" i="22"/>
  <c r="E9" i="22"/>
  <c r="D9" i="22"/>
  <c r="C9" i="22"/>
  <c r="B9" i="22"/>
  <c r="C39" i="21"/>
  <c r="C30" i="21"/>
  <c r="C21" i="21"/>
  <c r="C13" i="21"/>
  <c r="J7" i="21"/>
  <c r="C6" i="21"/>
  <c r="J5" i="21"/>
  <c r="J4" i="21"/>
  <c r="F37" i="21" s="1"/>
  <c r="D37" i="21" s="1"/>
  <c r="G36" i="14" s="1"/>
  <c r="B27" i="20"/>
  <c r="J8" i="21" s="1"/>
  <c r="B25" i="20"/>
  <c r="B26" i="20" s="1"/>
  <c r="B24" i="20"/>
  <c r="F15" i="20"/>
  <c r="E15" i="20"/>
  <c r="D15" i="20"/>
  <c r="C15" i="20"/>
  <c r="B15" i="20"/>
  <c r="F5" i="20"/>
  <c r="E5" i="20"/>
  <c r="D5" i="20"/>
  <c r="B5" i="20"/>
  <c r="G13" i="18"/>
  <c r="F13" i="18"/>
  <c r="E13" i="18"/>
  <c r="D13" i="18"/>
  <c r="C13" i="18"/>
  <c r="B13" i="18"/>
  <c r="G12" i="18"/>
  <c r="F12" i="18"/>
  <c r="E12" i="18"/>
  <c r="D12" i="18"/>
  <c r="C12" i="18"/>
  <c r="B12" i="18"/>
  <c r="G5" i="18"/>
  <c r="F5" i="18"/>
  <c r="E5" i="18"/>
  <c r="D5" i="18"/>
  <c r="C5" i="18"/>
  <c r="B5" i="18"/>
  <c r="G4" i="18"/>
  <c r="F4" i="18"/>
  <c r="E4" i="18"/>
  <c r="D4" i="18"/>
  <c r="C4" i="18"/>
  <c r="B4" i="18"/>
  <c r="M17" i="17"/>
  <c r="J11" i="17"/>
  <c r="J13" i="17" s="1"/>
  <c r="B62" i="14" s="1"/>
  <c r="A3" i="17"/>
  <c r="B10" i="16"/>
  <c r="A3" i="16"/>
  <c r="G22" i="15"/>
  <c r="F22" i="15"/>
  <c r="E22" i="15"/>
  <c r="D22" i="15"/>
  <c r="C22" i="15"/>
  <c r="B22" i="15"/>
  <c r="B21" i="15"/>
  <c r="B11" i="17" s="1"/>
  <c r="B20" i="15"/>
  <c r="B19" i="15"/>
  <c r="B18" i="15"/>
  <c r="B17" i="15"/>
  <c r="A3" i="15"/>
  <c r="E52" i="14"/>
  <c r="D52" i="14"/>
  <c r="B21" i="14"/>
  <c r="B4" i="33" l="1"/>
  <c r="E15" i="38"/>
  <c r="E59" i="14" s="1"/>
  <c r="F167" i="24"/>
  <c r="F131" i="24"/>
  <c r="G58" i="24"/>
  <c r="G78" i="24"/>
  <c r="F38" i="21"/>
  <c r="D38" i="21" s="1"/>
  <c r="G37" i="14" s="1"/>
  <c r="F4" i="21"/>
  <c r="B12" i="30"/>
  <c r="I54" i="37"/>
  <c r="I34" i="37" s="1"/>
  <c r="I57" i="37"/>
  <c r="I68" i="37"/>
  <c r="I36" i="37" s="1"/>
  <c r="B85" i="34"/>
  <c r="B54" i="34" s="1"/>
  <c r="B86" i="34"/>
  <c r="C54" i="34" s="1"/>
  <c r="B87" i="34"/>
  <c r="D54" i="34" s="1"/>
  <c r="B88" i="34"/>
  <c r="E54" i="34" s="1"/>
  <c r="B89" i="34"/>
  <c r="F54" i="34" s="1"/>
  <c r="B90" i="34"/>
  <c r="G54" i="34" s="1"/>
  <c r="Z146" i="23"/>
  <c r="AC146" i="23" s="1"/>
  <c r="N41" i="23"/>
  <c r="N138" i="23"/>
  <c r="Q126" i="23"/>
  <c r="Z94" i="23"/>
  <c r="AA94" i="23" s="1"/>
  <c r="Q103" i="23"/>
  <c r="C8" i="22"/>
  <c r="C18" i="22" s="1"/>
  <c r="R75" i="23"/>
  <c r="AA197" i="23"/>
  <c r="AC197" i="23"/>
  <c r="R201" i="23" s="1"/>
  <c r="N198" i="23"/>
  <c r="N149" i="23"/>
  <c r="AA148" i="23"/>
  <c r="AC148" i="23"/>
  <c r="V5" i="31"/>
  <c r="P8" i="31"/>
  <c r="P57" i="31"/>
  <c r="P59" i="31"/>
  <c r="P146" i="31"/>
  <c r="D70" i="31"/>
  <c r="P70" i="31" s="1"/>
  <c r="R45" i="31"/>
  <c r="P21" i="31"/>
  <c r="R22" i="31"/>
  <c r="R61" i="31"/>
  <c r="R62" i="31" s="1"/>
  <c r="F56" i="31" s="1"/>
  <c r="R115" i="31"/>
  <c r="R116" i="31" s="1"/>
  <c r="M107" i="31" s="1"/>
  <c r="R66" i="31"/>
  <c r="E58" i="31" s="1"/>
  <c r="E69" i="31" s="1"/>
  <c r="R120" i="31"/>
  <c r="E31" i="31"/>
  <c r="D31" i="31"/>
  <c r="F109" i="31"/>
  <c r="F120" i="31" s="1"/>
  <c r="H109" i="31"/>
  <c r="H120" i="31" s="1"/>
  <c r="R140" i="31"/>
  <c r="R141" i="31" s="1"/>
  <c r="R94" i="31"/>
  <c r="I84" i="31" s="1"/>
  <c r="J109" i="31"/>
  <c r="J120" i="31" s="1"/>
  <c r="C67" i="31"/>
  <c r="C68" i="31" s="1"/>
  <c r="O68" i="31" s="1"/>
  <c r="R145" i="31"/>
  <c r="L134" i="31" s="1"/>
  <c r="L145" i="31" s="1"/>
  <c r="O32" i="24"/>
  <c r="O35" i="24"/>
  <c r="O31" i="24"/>
  <c r="O33" i="24"/>
  <c r="O30" i="24"/>
  <c r="E52" i="24"/>
  <c r="C19" i="31"/>
  <c r="J19" i="31" s="1"/>
  <c r="J18" i="31"/>
  <c r="F18" i="31"/>
  <c r="K18" i="31"/>
  <c r="E18" i="31"/>
  <c r="I18" i="31"/>
  <c r="D18" i="31"/>
  <c r="L18" i="31"/>
  <c r="G18" i="31"/>
  <c r="H18" i="31"/>
  <c r="G67" i="24"/>
  <c r="F63" i="24"/>
  <c r="AC97" i="23"/>
  <c r="R102" i="23" s="1"/>
  <c r="AA97" i="23"/>
  <c r="AB97" i="23"/>
  <c r="AA149" i="23"/>
  <c r="AC149" i="23"/>
  <c r="AB149" i="23"/>
  <c r="G141" i="24"/>
  <c r="F140" i="24"/>
  <c r="F28" i="21"/>
  <c r="D28" i="21" s="1"/>
  <c r="F36" i="14" s="1"/>
  <c r="F20" i="21"/>
  <c r="D20" i="21" s="1"/>
  <c r="E36" i="14" s="1"/>
  <c r="AA96" i="23"/>
  <c r="AC96" i="23"/>
  <c r="R101" i="23" s="1"/>
  <c r="AB96" i="23"/>
  <c r="R154" i="23"/>
  <c r="E8" i="22" s="1"/>
  <c r="R103" i="23"/>
  <c r="D8" i="22" s="1"/>
  <c r="P9" i="23"/>
  <c r="P29" i="23" s="1"/>
  <c r="B8" i="22"/>
  <c r="B18" i="22" s="1"/>
  <c r="R29" i="23"/>
  <c r="AC95" i="23"/>
  <c r="R100" i="23" s="1"/>
  <c r="AA95" i="23"/>
  <c r="AB146" i="23"/>
  <c r="AA146" i="23"/>
  <c r="AC147" i="23"/>
  <c r="AA147" i="23"/>
  <c r="Q203" i="23"/>
  <c r="Q226" i="23" s="1"/>
  <c r="Q198" i="23"/>
  <c r="R203" i="23"/>
  <c r="F8" i="22" s="1"/>
  <c r="G60" i="24"/>
  <c r="F59" i="24"/>
  <c r="G85" i="24"/>
  <c r="F84" i="24"/>
  <c r="G123" i="24"/>
  <c r="E133" i="24"/>
  <c r="G182" i="24"/>
  <c r="F171" i="24"/>
  <c r="F35" i="21"/>
  <c r="F26" i="21"/>
  <c r="F18" i="21"/>
  <c r="F11" i="21"/>
  <c r="AB95" i="23"/>
  <c r="AB147" i="23"/>
  <c r="AB198" i="23"/>
  <c r="AC198" i="23"/>
  <c r="R202" i="23" s="1"/>
  <c r="F86" i="24"/>
  <c r="F113" i="24"/>
  <c r="G114" i="24"/>
  <c r="G133" i="24" s="1"/>
  <c r="G145" i="24"/>
  <c r="F144" i="24"/>
  <c r="F160" i="24" s="1"/>
  <c r="P34" i="24" s="1"/>
  <c r="F165" i="24"/>
  <c r="G166" i="24"/>
  <c r="K7" i="25"/>
  <c r="J6" i="21"/>
  <c r="F12" i="21" s="1"/>
  <c r="D12" i="21" s="1"/>
  <c r="D35" i="14" s="1"/>
  <c r="F29" i="21"/>
  <c r="D29" i="21" s="1"/>
  <c r="F37" i="14" s="1"/>
  <c r="N98" i="23"/>
  <c r="AB196" i="23"/>
  <c r="AC196" i="23"/>
  <c r="R200" i="23" s="1"/>
  <c r="AA198" i="23"/>
  <c r="G105" i="24"/>
  <c r="F104" i="24"/>
  <c r="G33" i="24"/>
  <c r="F32" i="24"/>
  <c r="E106" i="24"/>
  <c r="G96" i="24"/>
  <c r="P45" i="31"/>
  <c r="N33" i="31"/>
  <c r="N44" i="31" s="1"/>
  <c r="J33" i="31"/>
  <c r="J44" i="31" s="1"/>
  <c r="M33" i="31"/>
  <c r="M44" i="31" s="1"/>
  <c r="H33" i="31"/>
  <c r="H44" i="31" s="1"/>
  <c r="D33" i="31"/>
  <c r="N20" i="31"/>
  <c r="J20" i="31"/>
  <c r="F20" i="31"/>
  <c r="K33" i="31"/>
  <c r="K44" i="31" s="1"/>
  <c r="E33" i="31"/>
  <c r="E44" i="31" s="1"/>
  <c r="I33" i="31"/>
  <c r="I44" i="31" s="1"/>
  <c r="G33" i="31"/>
  <c r="G44" i="31" s="1"/>
  <c r="K20" i="31"/>
  <c r="E20" i="31"/>
  <c r="F33" i="31"/>
  <c r="F44" i="31" s="1"/>
  <c r="I20" i="31"/>
  <c r="G20" i="31"/>
  <c r="L20" i="31"/>
  <c r="O33" i="31"/>
  <c r="O44" i="31" s="1"/>
  <c r="M20" i="31"/>
  <c r="R46" i="31"/>
  <c r="C11" i="30" s="1"/>
  <c r="Q53" i="23"/>
  <c r="Q75" i="23" s="1"/>
  <c r="N87" i="23"/>
  <c r="Z195" i="23"/>
  <c r="N31" i="31"/>
  <c r="J31" i="31"/>
  <c r="F31" i="31"/>
  <c r="M31" i="31"/>
  <c r="H31" i="31"/>
  <c r="L31" i="31"/>
  <c r="G31" i="31"/>
  <c r="K31" i="31"/>
  <c r="C10" i="30"/>
  <c r="I31" i="31"/>
  <c r="O31" i="31"/>
  <c r="O56" i="31"/>
  <c r="K56" i="31"/>
  <c r="G56" i="31"/>
  <c r="M56" i="31"/>
  <c r="H56" i="31"/>
  <c r="J56" i="31"/>
  <c r="D56" i="31"/>
  <c r="I56" i="31"/>
  <c r="E56" i="31"/>
  <c r="N56" i="31"/>
  <c r="L56" i="31"/>
  <c r="D10" i="30"/>
  <c r="E12" i="27"/>
  <c r="B12" i="26"/>
  <c r="E14" i="27" s="1"/>
  <c r="P96" i="31"/>
  <c r="P85" i="31"/>
  <c r="L84" i="31"/>
  <c r="H84" i="31"/>
  <c r="D84" i="31"/>
  <c r="M84" i="31"/>
  <c r="G84" i="31"/>
  <c r="N84" i="31"/>
  <c r="F84" i="31"/>
  <c r="K84" i="31"/>
  <c r="E84" i="31"/>
  <c r="O84" i="31"/>
  <c r="R95" i="31"/>
  <c r="E11" i="30" s="1"/>
  <c r="J84" i="31"/>
  <c r="E28" i="32"/>
  <c r="F11" i="32"/>
  <c r="C49" i="34"/>
  <c r="B49" i="34"/>
  <c r="R17" i="31"/>
  <c r="O7" i="31"/>
  <c r="N7" i="31"/>
  <c r="P83" i="31"/>
  <c r="P121" i="31"/>
  <c r="F22" i="32"/>
  <c r="F51" i="34"/>
  <c r="G6" i="32"/>
  <c r="E79" i="24"/>
  <c r="D4" i="33"/>
  <c r="C4" i="33"/>
  <c r="G4" i="33"/>
  <c r="F4" i="33"/>
  <c r="F78" i="29"/>
  <c r="C93" i="31"/>
  <c r="C94" i="31" s="1"/>
  <c r="O94" i="31" s="1"/>
  <c r="C42" i="31"/>
  <c r="C43" i="31" s="1"/>
  <c r="J43" i="31" s="1"/>
  <c r="P32" i="31"/>
  <c r="L58" i="31"/>
  <c r="L69" i="31" s="1"/>
  <c r="H58" i="31"/>
  <c r="H69" i="31" s="1"/>
  <c r="D58" i="31"/>
  <c r="N58" i="31"/>
  <c r="N69" i="31" s="1"/>
  <c r="I58" i="31"/>
  <c r="I69" i="31" s="1"/>
  <c r="R67" i="31"/>
  <c r="D11" i="30" s="1"/>
  <c r="O58" i="31"/>
  <c r="O69" i="31" s="1"/>
  <c r="G58" i="31"/>
  <c r="G69" i="31" s="1"/>
  <c r="M58" i="31"/>
  <c r="M69" i="31" s="1"/>
  <c r="F58" i="31"/>
  <c r="F69" i="31" s="1"/>
  <c r="P103" i="31"/>
  <c r="O107" i="31"/>
  <c r="C143" i="31"/>
  <c r="C144" i="31" s="1"/>
  <c r="N144" i="31" s="1"/>
  <c r="B20" i="32"/>
  <c r="B26" i="32"/>
  <c r="B52" i="34"/>
  <c r="P10" i="31"/>
  <c r="P52" i="31"/>
  <c r="C118" i="31"/>
  <c r="C119" i="31" s="1"/>
  <c r="E119" i="31" s="1"/>
  <c r="K134" i="31"/>
  <c r="K145" i="31" s="1"/>
  <c r="G134" i="31"/>
  <c r="G145" i="31" s="1"/>
  <c r="D9" i="32"/>
  <c r="C24" i="32"/>
  <c r="C38" i="34" s="1"/>
  <c r="B9" i="32"/>
  <c r="E4" i="33"/>
  <c r="P78" i="31"/>
  <c r="O109" i="31"/>
  <c r="O120" i="31" s="1"/>
  <c r="K109" i="31"/>
  <c r="K120" i="31" s="1"/>
  <c r="G109" i="31"/>
  <c r="G120" i="31" s="1"/>
  <c r="N109" i="31"/>
  <c r="N120" i="31" s="1"/>
  <c r="I109" i="31"/>
  <c r="I120" i="31" s="1"/>
  <c r="D109" i="31"/>
  <c r="P133" i="31"/>
  <c r="M132" i="31"/>
  <c r="I132" i="31"/>
  <c r="N132" i="31"/>
  <c r="H132" i="31"/>
  <c r="D132" i="31"/>
  <c r="O132" i="31"/>
  <c r="G132" i="31"/>
  <c r="L132" i="31"/>
  <c r="F132" i="31"/>
  <c r="E25" i="32"/>
  <c r="F10" i="32"/>
  <c r="D25" i="32"/>
  <c r="P34" i="31"/>
  <c r="P110" i="31"/>
  <c r="F21" i="32"/>
  <c r="F50" i="34" s="1"/>
  <c r="G5" i="32"/>
  <c r="G26" i="32"/>
  <c r="G52" i="34" s="1"/>
  <c r="E15" i="32"/>
  <c r="D30" i="32"/>
  <c r="I24" i="37"/>
  <c r="I15" i="37"/>
  <c r="I6" i="37"/>
  <c r="I45" i="37"/>
  <c r="I46" i="37"/>
  <c r="I25" i="37"/>
  <c r="I16" i="37"/>
  <c r="I7" i="37"/>
  <c r="I35" i="37"/>
  <c r="I26" i="37"/>
  <c r="I47" i="37"/>
  <c r="G23" i="38"/>
  <c r="G30" i="38" s="1"/>
  <c r="G35" i="38"/>
  <c r="P128" i="31"/>
  <c r="E4" i="32"/>
  <c r="D20" i="32"/>
  <c r="I72" i="37"/>
  <c r="B93" i="37"/>
  <c r="C95" i="31"/>
  <c r="I95" i="31" s="1"/>
  <c r="R89" i="31"/>
  <c r="R90" i="31" s="1"/>
  <c r="P108" i="31"/>
  <c r="D12" i="32"/>
  <c r="F31" i="32"/>
  <c r="G16" i="32"/>
  <c r="G31" i="32" s="1"/>
  <c r="M62" i="34"/>
  <c r="L62" i="34"/>
  <c r="B69" i="34" s="1"/>
  <c r="B53" i="34" s="1"/>
  <c r="C53" i="34" s="1"/>
  <c r="B90" i="37"/>
  <c r="B55" i="34" l="1"/>
  <c r="C55" i="34"/>
  <c r="F14" i="21"/>
  <c r="C6" i="20" s="1"/>
  <c r="D4" i="21"/>
  <c r="G160" i="24"/>
  <c r="G187" i="24"/>
  <c r="F187" i="24"/>
  <c r="P35" i="24" s="1"/>
  <c r="F117" i="24"/>
  <c r="F133" i="24" s="1"/>
  <c r="P33" i="24" s="1"/>
  <c r="F79" i="24"/>
  <c r="P31" i="24" s="1"/>
  <c r="G79" i="24"/>
  <c r="AC94" i="23"/>
  <c r="AB94" i="23"/>
  <c r="Q9" i="23"/>
  <c r="Q29" i="23" s="1"/>
  <c r="Q152" i="23"/>
  <c r="R152" i="23"/>
  <c r="J67" i="31"/>
  <c r="E68" i="31"/>
  <c r="G68" i="31"/>
  <c r="H107" i="31"/>
  <c r="J107" i="31"/>
  <c r="F10" i="30"/>
  <c r="G107" i="31"/>
  <c r="E107" i="31"/>
  <c r="L107" i="31"/>
  <c r="L118" i="31" s="1"/>
  <c r="I107" i="31"/>
  <c r="I118" i="31" s="1"/>
  <c r="F107" i="31"/>
  <c r="F118" i="31" s="1"/>
  <c r="C12" i="30"/>
  <c r="L33" i="31"/>
  <c r="L44" i="31" s="1"/>
  <c r="H20" i="31"/>
  <c r="F143" i="31"/>
  <c r="D68" i="31"/>
  <c r="H67" i="31"/>
  <c r="G67" i="31"/>
  <c r="K67" i="31"/>
  <c r="L68" i="31"/>
  <c r="O67" i="31"/>
  <c r="N68" i="31"/>
  <c r="M67" i="31"/>
  <c r="F68" i="31"/>
  <c r="H68" i="31"/>
  <c r="N67" i="31"/>
  <c r="J68" i="31"/>
  <c r="L67" i="31"/>
  <c r="E67" i="31"/>
  <c r="M68" i="31"/>
  <c r="I67" i="31"/>
  <c r="I68" i="31"/>
  <c r="K68" i="31"/>
  <c r="M109" i="31"/>
  <c r="M120" i="31" s="1"/>
  <c r="E109" i="31"/>
  <c r="E120" i="31" s="1"/>
  <c r="R121" i="31"/>
  <c r="F11" i="30" s="1"/>
  <c r="J58" i="31"/>
  <c r="J69" i="31" s="1"/>
  <c r="K58" i="31"/>
  <c r="K69" i="31" s="1"/>
  <c r="M43" i="31"/>
  <c r="I43" i="31"/>
  <c r="H43" i="31"/>
  <c r="N107" i="31"/>
  <c r="N118" i="31" s="1"/>
  <c r="K107" i="31"/>
  <c r="D107" i="31"/>
  <c r="D118" i="31" s="1"/>
  <c r="L109" i="31"/>
  <c r="L120" i="31" s="1"/>
  <c r="O19" i="31"/>
  <c r="E19" i="31"/>
  <c r="J144" i="31"/>
  <c r="K119" i="31"/>
  <c r="I134" i="31"/>
  <c r="I145" i="31" s="1"/>
  <c r="F144" i="31"/>
  <c r="J132" i="31"/>
  <c r="J143" i="31" s="1"/>
  <c r="E132" i="31"/>
  <c r="E143" i="31" s="1"/>
  <c r="G10" i="30"/>
  <c r="K132" i="31"/>
  <c r="K143" i="31" s="1"/>
  <c r="J94" i="31"/>
  <c r="N143" i="31"/>
  <c r="J119" i="31"/>
  <c r="M134" i="31"/>
  <c r="M145" i="31" s="1"/>
  <c r="L143" i="31"/>
  <c r="G143" i="31"/>
  <c r="D134" i="31"/>
  <c r="N94" i="31"/>
  <c r="F134" i="31"/>
  <c r="F145" i="31" s="1"/>
  <c r="F94" i="31"/>
  <c r="I143" i="31"/>
  <c r="F119" i="31"/>
  <c r="H134" i="31"/>
  <c r="H145" i="31" s="1"/>
  <c r="E43" i="31"/>
  <c r="H143" i="31"/>
  <c r="M143" i="31"/>
  <c r="N134" i="31"/>
  <c r="N145" i="31" s="1"/>
  <c r="O134" i="31"/>
  <c r="O145" i="31" s="1"/>
  <c r="E134" i="31"/>
  <c r="E145" i="31" s="1"/>
  <c r="R146" i="31"/>
  <c r="G11" i="30" s="1"/>
  <c r="O143" i="31"/>
  <c r="N119" i="31"/>
  <c r="L43" i="31"/>
  <c r="J134" i="31"/>
  <c r="J145" i="31" s="1"/>
  <c r="F67" i="31"/>
  <c r="G19" i="31"/>
  <c r="L19" i="31"/>
  <c r="H19" i="31"/>
  <c r="F19" i="31"/>
  <c r="K19" i="31"/>
  <c r="B28" i="34"/>
  <c r="F41" i="34" s="1"/>
  <c r="E114" i="27"/>
  <c r="I37" i="37"/>
  <c r="I48" i="37"/>
  <c r="D120" i="31"/>
  <c r="D24" i="32"/>
  <c r="D38" i="34" s="1"/>
  <c r="E9" i="32"/>
  <c r="I119" i="31"/>
  <c r="L144" i="31"/>
  <c r="D144" i="31"/>
  <c r="I144" i="31"/>
  <c r="E144" i="31"/>
  <c r="M144" i="31"/>
  <c r="H144" i="31"/>
  <c r="H118" i="31"/>
  <c r="G118" i="31"/>
  <c r="M118" i="31"/>
  <c r="I94" i="31"/>
  <c r="M94" i="31"/>
  <c r="G94" i="31"/>
  <c r="E94" i="31"/>
  <c r="K94" i="31"/>
  <c r="G22" i="32"/>
  <c r="G51" i="34" s="1"/>
  <c r="K144" i="31"/>
  <c r="N43" i="31"/>
  <c r="M18" i="31"/>
  <c r="P7" i="31"/>
  <c r="J95" i="31"/>
  <c r="K95" i="31"/>
  <c r="M95" i="31"/>
  <c r="D67" i="31"/>
  <c r="P56" i="31"/>
  <c r="I42" i="31"/>
  <c r="L42" i="31"/>
  <c r="J42" i="31"/>
  <c r="AB195" i="23"/>
  <c r="AC195" i="23"/>
  <c r="AA195" i="23"/>
  <c r="D18" i="21"/>
  <c r="R151" i="23"/>
  <c r="Q151" i="23"/>
  <c r="F90" i="24"/>
  <c r="F106" i="24" s="1"/>
  <c r="D42" i="31"/>
  <c r="M67" i="34"/>
  <c r="I67" i="34"/>
  <c r="E67" i="34"/>
  <c r="M66" i="34"/>
  <c r="I66" i="34"/>
  <c r="E66" i="34"/>
  <c r="M65" i="34"/>
  <c r="I65" i="34"/>
  <c r="E65" i="34"/>
  <c r="M64" i="34"/>
  <c r="I64" i="34"/>
  <c r="E64" i="34"/>
  <c r="M63" i="34"/>
  <c r="I63" i="34"/>
  <c r="E63" i="34"/>
  <c r="K67" i="34"/>
  <c r="F67" i="34"/>
  <c r="L66" i="34"/>
  <c r="G66" i="34"/>
  <c r="B66" i="34"/>
  <c r="H65" i="34"/>
  <c r="C65" i="34"/>
  <c r="J64" i="34"/>
  <c r="D64" i="34"/>
  <c r="K63" i="34"/>
  <c r="F63" i="34"/>
  <c r="H67" i="34"/>
  <c r="B67" i="34"/>
  <c r="F66" i="34"/>
  <c r="K65" i="34"/>
  <c r="D65" i="34"/>
  <c r="H64" i="34"/>
  <c r="B64" i="34"/>
  <c r="G63" i="34"/>
  <c r="G67" i="34"/>
  <c r="K66" i="34"/>
  <c r="D66" i="34"/>
  <c r="J65" i="34"/>
  <c r="B65" i="34"/>
  <c r="G64" i="34"/>
  <c r="L63" i="34"/>
  <c r="D63" i="34"/>
  <c r="J67" i="34"/>
  <c r="H66" i="34"/>
  <c r="F65" i="34"/>
  <c r="C64" i="34"/>
  <c r="B63" i="34"/>
  <c r="D67" i="34"/>
  <c r="C66" i="34"/>
  <c r="L64" i="34"/>
  <c r="J63" i="34"/>
  <c r="L65" i="34"/>
  <c r="H63" i="34"/>
  <c r="L67" i="34"/>
  <c r="G65" i="34"/>
  <c r="C63" i="34"/>
  <c r="J66" i="34"/>
  <c r="K64" i="34"/>
  <c r="F64" i="34"/>
  <c r="C67" i="34"/>
  <c r="G44" i="38"/>
  <c r="H35" i="38"/>
  <c r="D143" i="31"/>
  <c r="D145" i="31"/>
  <c r="O118" i="31"/>
  <c r="B11" i="38"/>
  <c r="B9" i="33"/>
  <c r="G144" i="31"/>
  <c r="L94" i="31"/>
  <c r="F95" i="31"/>
  <c r="P84" i="31"/>
  <c r="D95" i="31"/>
  <c r="H42" i="31"/>
  <c r="N42" i="31"/>
  <c r="F27" i="21"/>
  <c r="D27" i="21" s="1"/>
  <c r="F35" i="14" s="1"/>
  <c r="F19" i="21"/>
  <c r="D19" i="21" s="1"/>
  <c r="E35" i="14" s="1"/>
  <c r="D26" i="21"/>
  <c r="G106" i="24"/>
  <c r="R99" i="23"/>
  <c r="R98" i="23" s="1"/>
  <c r="AC98" i="23"/>
  <c r="E42" i="31"/>
  <c r="G42" i="24"/>
  <c r="G52" i="24" s="1"/>
  <c r="F36" i="24"/>
  <c r="F52" i="24" s="1"/>
  <c r="P30" i="24" s="1"/>
  <c r="B94" i="37"/>
  <c r="F4" i="32"/>
  <c r="E20" i="32"/>
  <c r="E49" i="34" s="1"/>
  <c r="B24" i="32"/>
  <c r="B38" i="34"/>
  <c r="J118" i="31"/>
  <c r="E118" i="31"/>
  <c r="P107" i="31"/>
  <c r="D69" i="31"/>
  <c r="D43" i="31"/>
  <c r="K43" i="31"/>
  <c r="F43" i="31"/>
  <c r="H94" i="31"/>
  <c r="N18" i="31"/>
  <c r="F28" i="32"/>
  <c r="G11" i="32"/>
  <c r="G28" i="32" s="1"/>
  <c r="O95" i="31"/>
  <c r="N95" i="31"/>
  <c r="H95" i="31"/>
  <c r="O43" i="31"/>
  <c r="K42" i="31"/>
  <c r="M42" i="31"/>
  <c r="P9" i="31"/>
  <c r="D20" i="31"/>
  <c r="P33" i="31"/>
  <c r="D44" i="31"/>
  <c r="P44" i="31" s="1"/>
  <c r="C8" i="32" s="1"/>
  <c r="F36" i="21"/>
  <c r="D36" i="21" s="1"/>
  <c r="G35" i="14" s="1"/>
  <c r="F5" i="21"/>
  <c r="F7" i="21" s="1"/>
  <c r="B6" i="20" s="1"/>
  <c r="E28" i="27"/>
  <c r="F28" i="27" s="1"/>
  <c r="B17" i="25"/>
  <c r="E4" i="27"/>
  <c r="F4" i="27" s="1"/>
  <c r="E100" i="27"/>
  <c r="F100" i="27" s="1"/>
  <c r="D35" i="21"/>
  <c r="R153" i="23"/>
  <c r="Q153" i="23"/>
  <c r="D27" i="32"/>
  <c r="E12" i="32"/>
  <c r="N82" i="31"/>
  <c r="N93" i="31" s="1"/>
  <c r="J82" i="31"/>
  <c r="J93" i="31" s="1"/>
  <c r="F82" i="31"/>
  <c r="F93" i="31" s="1"/>
  <c r="K82" i="31"/>
  <c r="K93" i="31" s="1"/>
  <c r="E82" i="31"/>
  <c r="E93" i="31" s="1"/>
  <c r="M82" i="31"/>
  <c r="M93" i="31" s="1"/>
  <c r="G82" i="31"/>
  <c r="G93" i="31" s="1"/>
  <c r="L82" i="31"/>
  <c r="L93" i="31" s="1"/>
  <c r="D82" i="31"/>
  <c r="O82" i="31"/>
  <c r="O93" i="31" s="1"/>
  <c r="I82" i="31"/>
  <c r="I93" i="31" s="1"/>
  <c r="E10" i="30"/>
  <c r="E12" i="30" s="1"/>
  <c r="H82" i="31"/>
  <c r="H93" i="31" s="1"/>
  <c r="D49" i="34"/>
  <c r="E30" i="32"/>
  <c r="F15" i="32"/>
  <c r="G21" i="32"/>
  <c r="G50" i="34" s="1"/>
  <c r="G10" i="32"/>
  <c r="G25" i="32" s="1"/>
  <c r="F25" i="32"/>
  <c r="L119" i="31"/>
  <c r="D119" i="31"/>
  <c r="O119" i="31"/>
  <c r="M119" i="31"/>
  <c r="G119" i="31"/>
  <c r="H119" i="31"/>
  <c r="C22" i="31"/>
  <c r="N22" i="31" s="1"/>
  <c r="C46" i="31"/>
  <c r="O144" i="31"/>
  <c r="K118" i="31"/>
  <c r="D94" i="31"/>
  <c r="O18" i="31"/>
  <c r="B11" i="15"/>
  <c r="E95" i="31"/>
  <c r="G95" i="31"/>
  <c r="L95" i="31"/>
  <c r="G43" i="31"/>
  <c r="D12" i="30"/>
  <c r="O42" i="31"/>
  <c r="G42" i="31"/>
  <c r="F42" i="31"/>
  <c r="AC150" i="23"/>
  <c r="R150" i="23"/>
  <c r="D11" i="21"/>
  <c r="D13" i="21" s="1"/>
  <c r="P31" i="31"/>
  <c r="M19" i="31"/>
  <c r="I19" i="31"/>
  <c r="D19" i="31"/>
  <c r="N19" i="31"/>
  <c r="C44" i="14" l="1"/>
  <c r="C11" i="15" s="1"/>
  <c r="D39" i="21"/>
  <c r="D30" i="21"/>
  <c r="F31" i="21"/>
  <c r="E6" i="20" s="1"/>
  <c r="F22" i="21"/>
  <c r="D6" i="20" s="1"/>
  <c r="F40" i="21"/>
  <c r="F6" i="20" s="1"/>
  <c r="C34" i="14"/>
  <c r="P68" i="31"/>
  <c r="F12" i="30"/>
  <c r="P20" i="31"/>
  <c r="R149" i="23"/>
  <c r="E7" i="22" s="1"/>
  <c r="E18" i="22" s="1"/>
  <c r="P132" i="31"/>
  <c r="O22" i="31"/>
  <c r="P120" i="31"/>
  <c r="F8" i="32" s="1"/>
  <c r="P109" i="31"/>
  <c r="M34" i="24" s="1"/>
  <c r="P69" i="31"/>
  <c r="D8" i="32" s="1"/>
  <c r="P58" i="31"/>
  <c r="M32" i="24" s="1"/>
  <c r="P145" i="31"/>
  <c r="G8" i="32" s="1"/>
  <c r="P94" i="31"/>
  <c r="P134" i="31"/>
  <c r="M35" i="24" s="1"/>
  <c r="G12" i="30"/>
  <c r="P18" i="31"/>
  <c r="B7" i="32" s="1"/>
  <c r="B24" i="34"/>
  <c r="B41" i="34" s="1"/>
  <c r="E18" i="27"/>
  <c r="B25" i="34"/>
  <c r="C41" i="34" s="1"/>
  <c r="E42" i="27"/>
  <c r="B27" i="34"/>
  <c r="E41" i="34" s="1"/>
  <c r="E90" i="27"/>
  <c r="B29" i="34"/>
  <c r="G41" i="34" s="1"/>
  <c r="B116" i="34" s="1"/>
  <c r="E138" i="27"/>
  <c r="P32" i="24"/>
  <c r="M31" i="24"/>
  <c r="C19" i="20"/>
  <c r="C9" i="20"/>
  <c r="P82" i="31"/>
  <c r="D93" i="31"/>
  <c r="B19" i="25"/>
  <c r="B18" i="25"/>
  <c r="B20" i="25"/>
  <c r="P43" i="31"/>
  <c r="P95" i="31"/>
  <c r="E8" i="32" s="1"/>
  <c r="B26" i="38"/>
  <c r="B15" i="38"/>
  <c r="B8" i="17" s="1"/>
  <c r="B16" i="38"/>
  <c r="P143" i="31"/>
  <c r="P42" i="31"/>
  <c r="E34" i="14"/>
  <c r="P67" i="31"/>
  <c r="P19" i="31"/>
  <c r="C97" i="31"/>
  <c r="C122" i="31"/>
  <c r="C147" i="31"/>
  <c r="C71" i="31"/>
  <c r="P119" i="31"/>
  <c r="F12" i="32"/>
  <c r="E27" i="32"/>
  <c r="G34" i="14"/>
  <c r="P118" i="31"/>
  <c r="B71" i="34"/>
  <c r="D53" i="34" s="1"/>
  <c r="R199" i="23"/>
  <c r="R198" i="23" s="1"/>
  <c r="AC199" i="23"/>
  <c r="Q150" i="23"/>
  <c r="F30" i="32"/>
  <c r="G15" i="32"/>
  <c r="G30" i="32" s="1"/>
  <c r="D5" i="21"/>
  <c r="D6" i="21" s="1"/>
  <c r="F34" i="14"/>
  <c r="B74" i="34"/>
  <c r="G53" i="34" s="1"/>
  <c r="B73" i="34"/>
  <c r="F53" i="34" s="1"/>
  <c r="D34" i="14"/>
  <c r="F20" i="32"/>
  <c r="F49" i="34"/>
  <c r="G4" i="32"/>
  <c r="R126" i="23"/>
  <c r="D7" i="22"/>
  <c r="D18" i="22" s="1"/>
  <c r="B70" i="34"/>
  <c r="B72" i="34"/>
  <c r="E53" i="34" s="1"/>
  <c r="E55" i="34" s="1"/>
  <c r="E44" i="14" s="1"/>
  <c r="H52" i="24"/>
  <c r="E6" i="27"/>
  <c r="P144" i="31"/>
  <c r="E24" i="32"/>
  <c r="E38" i="34" s="1"/>
  <c r="F9" i="32"/>
  <c r="F55" i="34" l="1"/>
  <c r="F44" i="14" s="1"/>
  <c r="E11" i="15"/>
  <c r="D55" i="34"/>
  <c r="D44" i="14" s="1"/>
  <c r="D11" i="15" s="1"/>
  <c r="E19" i="20"/>
  <c r="F11" i="15"/>
  <c r="R177" i="23"/>
  <c r="G15" i="18"/>
  <c r="G17" i="18" s="1"/>
  <c r="G22" i="16" s="1"/>
  <c r="G23" i="16" s="1"/>
  <c r="G42" i="34"/>
  <c r="G45" i="34" s="1"/>
  <c r="B26" i="34"/>
  <c r="D41" i="34" s="1"/>
  <c r="E66" i="27"/>
  <c r="E9" i="20"/>
  <c r="D37" i="31"/>
  <c r="B47" i="27"/>
  <c r="F6" i="27"/>
  <c r="E8" i="27"/>
  <c r="F8" i="27" s="1"/>
  <c r="Q149" i="23"/>
  <c r="Q154" i="23"/>
  <c r="Q177" i="23" s="1"/>
  <c r="R226" i="23"/>
  <c r="F7" i="22"/>
  <c r="F18" i="22" s="1"/>
  <c r="G5" i="26"/>
  <c r="F17" i="20"/>
  <c r="G38" i="14"/>
  <c r="E5" i="26"/>
  <c r="D17" i="20"/>
  <c r="E38" i="14"/>
  <c r="H46" i="24"/>
  <c r="I46" i="24" s="1"/>
  <c r="J46" i="24" s="1"/>
  <c r="H42" i="24"/>
  <c r="I42" i="24" s="1"/>
  <c r="J42" i="24" s="1"/>
  <c r="H39" i="24"/>
  <c r="I39" i="24" s="1"/>
  <c r="J39" i="24" s="1"/>
  <c r="H35" i="24"/>
  <c r="I35" i="24" s="1"/>
  <c r="J35" i="24" s="1"/>
  <c r="H34" i="24"/>
  <c r="I34" i="24" s="1"/>
  <c r="J34" i="24" s="1"/>
  <c r="H33" i="24"/>
  <c r="I33" i="24" s="1"/>
  <c r="J33" i="24" s="1"/>
  <c r="H49" i="24"/>
  <c r="I49" i="24" s="1"/>
  <c r="J49" i="24" s="1"/>
  <c r="H45" i="24"/>
  <c r="I45" i="24" s="1"/>
  <c r="J45" i="24" s="1"/>
  <c r="H38" i="24"/>
  <c r="I38" i="24" s="1"/>
  <c r="J38" i="24" s="1"/>
  <c r="H43" i="24"/>
  <c r="I43" i="24" s="1"/>
  <c r="J43" i="24" s="1"/>
  <c r="H41" i="24"/>
  <c r="I41" i="24" s="1"/>
  <c r="J41" i="24" s="1"/>
  <c r="H40" i="24"/>
  <c r="I40" i="24" s="1"/>
  <c r="J40" i="24" s="1"/>
  <c r="H48" i="24"/>
  <c r="I48" i="24" s="1"/>
  <c r="J48" i="24" s="1"/>
  <c r="H44" i="24"/>
  <c r="I44" i="24" s="1"/>
  <c r="J44" i="24" s="1"/>
  <c r="H37" i="24"/>
  <c r="I37" i="24" s="1"/>
  <c r="J37" i="24" s="1"/>
  <c r="M30" i="24"/>
  <c r="H51" i="24"/>
  <c r="I51" i="24" s="1"/>
  <c r="J51" i="24" s="1"/>
  <c r="H47" i="24"/>
  <c r="I47" i="24" s="1"/>
  <c r="J47" i="24" s="1"/>
  <c r="H31" i="24"/>
  <c r="I31" i="24" s="1"/>
  <c r="F5" i="26"/>
  <c r="E17" i="20"/>
  <c r="F38" i="14"/>
  <c r="D19" i="20"/>
  <c r="D9" i="20"/>
  <c r="D7" i="32"/>
  <c r="C16" i="38"/>
  <c r="B15" i="16"/>
  <c r="B17" i="16" s="1"/>
  <c r="B11" i="14"/>
  <c r="B22" i="25"/>
  <c r="B21" i="25"/>
  <c r="G20" i="32"/>
  <c r="G49" i="34" s="1"/>
  <c r="B19" i="20"/>
  <c r="B9" i="20"/>
  <c r="B10" i="20" s="1"/>
  <c r="B12" i="20" s="1"/>
  <c r="B14" i="20" s="1"/>
  <c r="B16" i="20" s="1"/>
  <c r="F149" i="27" s="1"/>
  <c r="G12" i="32"/>
  <c r="G27" i="32" s="1"/>
  <c r="F27" i="32"/>
  <c r="C7" i="32"/>
  <c r="C15" i="18"/>
  <c r="C17" i="18" s="1"/>
  <c r="C22" i="16" s="1"/>
  <c r="P93" i="31"/>
  <c r="B15" i="18"/>
  <c r="B17" i="18" s="1"/>
  <c r="B22" i="16" s="1"/>
  <c r="G9" i="32"/>
  <c r="F24" i="32"/>
  <c r="F38" i="34" s="1"/>
  <c r="F15" i="18"/>
  <c r="F17" i="18" s="1"/>
  <c r="F22" i="16" s="1"/>
  <c r="F42" i="34"/>
  <c r="F45" i="34" s="1"/>
  <c r="D5" i="26"/>
  <c r="D38" i="14"/>
  <c r="C17" i="20"/>
  <c r="C35" i="14"/>
  <c r="F7" i="32"/>
  <c r="G7" i="32"/>
  <c r="G31" i="38"/>
  <c r="C31" i="38"/>
  <c r="F31" i="38"/>
  <c r="C26" i="38"/>
  <c r="E31" i="38"/>
  <c r="D31" i="38"/>
  <c r="B30" i="38"/>
  <c r="C42" i="34"/>
  <c r="C45" i="34" s="1"/>
  <c r="F19" i="20"/>
  <c r="M33" i="24"/>
  <c r="B23" i="32"/>
  <c r="B32" i="32" s="1"/>
  <c r="B17" i="32"/>
  <c r="B42" i="34"/>
  <c r="B45" i="34" s="1"/>
  <c r="G55" i="34" l="1"/>
  <c r="O37" i="49"/>
  <c r="O15" i="49"/>
  <c r="C4" i="20"/>
  <c r="B8" i="27"/>
  <c r="C8" i="27" s="1"/>
  <c r="B22" i="27"/>
  <c r="B9" i="27"/>
  <c r="C9" i="27" s="1"/>
  <c r="B21" i="27"/>
  <c r="B15" i="27"/>
  <c r="F9" i="20"/>
  <c r="B37" i="34"/>
  <c r="B39" i="34" s="1"/>
  <c r="E48" i="38"/>
  <c r="E21" i="15"/>
  <c r="G48" i="38"/>
  <c r="G21" i="15"/>
  <c r="C23" i="16"/>
  <c r="D23" i="32"/>
  <c r="D32" i="32" s="1"/>
  <c r="D17" i="32"/>
  <c r="D15" i="18"/>
  <c r="D17" i="18" s="1"/>
  <c r="D22" i="16" s="1"/>
  <c r="D26" i="38"/>
  <c r="C30" i="38"/>
  <c r="F23" i="32"/>
  <c r="F32" i="32" s="1"/>
  <c r="F17" i="32"/>
  <c r="F23" i="16"/>
  <c r="B23" i="16"/>
  <c r="C23" i="32"/>
  <c r="C32" i="32" s="1"/>
  <c r="C17" i="32"/>
  <c r="J31" i="24"/>
  <c r="J52" i="24" s="1"/>
  <c r="I52" i="24"/>
  <c r="E20" i="27" s="1"/>
  <c r="F20" i="27" s="1"/>
  <c r="B7" i="27" s="1"/>
  <c r="C7" i="27" s="1"/>
  <c r="D42" i="34"/>
  <c r="D45" i="34" s="1"/>
  <c r="B34" i="32"/>
  <c r="B5" i="33" s="1"/>
  <c r="E42" i="34"/>
  <c r="E45" i="34" s="1"/>
  <c r="E15" i="18"/>
  <c r="E17" i="18" s="1"/>
  <c r="E22" i="16" s="1"/>
  <c r="F48" i="38"/>
  <c r="F21" i="15"/>
  <c r="G23" i="32"/>
  <c r="G32" i="32" s="1"/>
  <c r="E7" i="32"/>
  <c r="G17" i="32"/>
  <c r="E124" i="27"/>
  <c r="F124" i="27" s="1"/>
  <c r="E76" i="27"/>
  <c r="F76" i="27" s="1"/>
  <c r="E52" i="27"/>
  <c r="F52" i="27" s="1"/>
  <c r="D16" i="38"/>
  <c r="C15" i="16"/>
  <c r="D48" i="38"/>
  <c r="D21" i="15"/>
  <c r="C48" i="38"/>
  <c r="C21" i="15"/>
  <c r="C16" i="16" s="1"/>
  <c r="D16" i="16" s="1"/>
  <c r="C5" i="26"/>
  <c r="B17" i="20"/>
  <c r="C38" i="14"/>
  <c r="G24" i="32"/>
  <c r="G38" i="34" s="1"/>
  <c r="E106" i="27"/>
  <c r="F106" i="27" s="1"/>
  <c r="E58" i="27"/>
  <c r="F58" i="27" s="1"/>
  <c r="E10" i="27"/>
  <c r="F10" i="27" s="1"/>
  <c r="E82" i="27"/>
  <c r="F82" i="27" s="1"/>
  <c r="E130" i="27"/>
  <c r="F130" i="27" s="1"/>
  <c r="E34" i="27"/>
  <c r="F34" i="27" s="1"/>
  <c r="G44" i="14" l="1"/>
  <c r="G11" i="15" s="1"/>
  <c r="M37" i="49"/>
  <c r="M42" i="49" s="1"/>
  <c r="H15" i="49"/>
  <c r="H17" i="49" s="1"/>
  <c r="I15" i="49"/>
  <c r="I17" i="49" s="1"/>
  <c r="C37" i="49"/>
  <c r="D37" i="49"/>
  <c r="E37" i="49"/>
  <c r="F37" i="49"/>
  <c r="J37" i="49"/>
  <c r="F15" i="49"/>
  <c r="F17" i="49" s="1"/>
  <c r="G15" i="49"/>
  <c r="G17" i="49" s="1"/>
  <c r="E15" i="49"/>
  <c r="E17" i="49" s="1"/>
  <c r="L37" i="49"/>
  <c r="L42" i="49" s="1"/>
  <c r="K37" i="49"/>
  <c r="N15" i="49"/>
  <c r="N17" i="49" s="1"/>
  <c r="M15" i="49"/>
  <c r="M17" i="49" s="1"/>
  <c r="H37" i="49"/>
  <c r="N37" i="49"/>
  <c r="N42" i="49" s="1"/>
  <c r="J15" i="49"/>
  <c r="J17" i="49" s="1"/>
  <c r="D15" i="49"/>
  <c r="D17" i="49" s="1"/>
  <c r="I37" i="49"/>
  <c r="K15" i="49"/>
  <c r="K17" i="49" s="1"/>
  <c r="C15" i="49"/>
  <c r="C17" i="49" s="1"/>
  <c r="L15" i="49"/>
  <c r="L17" i="49" s="1"/>
  <c r="G37" i="49"/>
  <c r="E16" i="16"/>
  <c r="F16" i="16" s="1"/>
  <c r="G16" i="16" s="1"/>
  <c r="B40" i="34"/>
  <c r="B44" i="34" s="1"/>
  <c r="B20" i="20"/>
  <c r="N28" i="23"/>
  <c r="D34" i="32"/>
  <c r="C34" i="32"/>
  <c r="B10" i="27"/>
  <c r="E23" i="16"/>
  <c r="E16" i="38"/>
  <c r="D15" i="16"/>
  <c r="G34" i="32"/>
  <c r="G49" i="14" s="1"/>
  <c r="G37" i="34"/>
  <c r="G39" i="34" s="1"/>
  <c r="B117" i="34" s="1"/>
  <c r="F37" i="34"/>
  <c r="F39" i="34" s="1"/>
  <c r="C10" i="20"/>
  <c r="C12" i="20" s="1"/>
  <c r="C14" i="20" s="1"/>
  <c r="C16" i="20" s="1"/>
  <c r="F150" i="27" s="1"/>
  <c r="D11" i="17"/>
  <c r="B24" i="27"/>
  <c r="C13" i="17"/>
  <c r="E11" i="17"/>
  <c r="C11" i="17"/>
  <c r="F11" i="17"/>
  <c r="C37" i="34"/>
  <c r="C39" i="34" s="1"/>
  <c r="D37" i="34"/>
  <c r="D39" i="34" s="1"/>
  <c r="B4" i="37"/>
  <c r="P29" i="31"/>
  <c r="H75" i="24"/>
  <c r="I75" i="24" s="1"/>
  <c r="J75" i="24" s="1"/>
  <c r="H71" i="24"/>
  <c r="I71" i="24" s="1"/>
  <c r="J71" i="24" s="1"/>
  <c r="H70" i="24"/>
  <c r="I70" i="24" s="1"/>
  <c r="J70" i="24" s="1"/>
  <c r="H68" i="24"/>
  <c r="I68" i="24" s="1"/>
  <c r="J68" i="24" s="1"/>
  <c r="H64" i="24"/>
  <c r="I64" i="24" s="1"/>
  <c r="J64" i="24" s="1"/>
  <c r="H60" i="24"/>
  <c r="I60" i="24" s="1"/>
  <c r="J60" i="24" s="1"/>
  <c r="H78" i="24"/>
  <c r="I78" i="24" s="1"/>
  <c r="J78" i="24" s="1"/>
  <c r="H74" i="24"/>
  <c r="I74" i="24" s="1"/>
  <c r="J74" i="24" s="1"/>
  <c r="H67" i="24"/>
  <c r="I67" i="24" s="1"/>
  <c r="J67" i="24" s="1"/>
  <c r="H66" i="24"/>
  <c r="I66" i="24" s="1"/>
  <c r="J66" i="24" s="1"/>
  <c r="H65" i="24"/>
  <c r="I65" i="24" s="1"/>
  <c r="J65" i="24" s="1"/>
  <c r="H58" i="24"/>
  <c r="I58" i="24" s="1"/>
  <c r="B5" i="25"/>
  <c r="H69" i="24"/>
  <c r="I69" i="24" s="1"/>
  <c r="J69" i="24" s="1"/>
  <c r="H62" i="24"/>
  <c r="I62" i="24" s="1"/>
  <c r="J62" i="24" s="1"/>
  <c r="H61" i="24"/>
  <c r="I61" i="24" s="1"/>
  <c r="J61" i="24" s="1"/>
  <c r="G5" i="21"/>
  <c r="G4" i="21"/>
  <c r="H76" i="24"/>
  <c r="I76" i="24" s="1"/>
  <c r="J76" i="24" s="1"/>
  <c r="C27" i="14"/>
  <c r="H72" i="24"/>
  <c r="I72" i="24" s="1"/>
  <c r="J72" i="24" s="1"/>
  <c r="B18" i="20"/>
  <c r="D4" i="37" s="1"/>
  <c r="H73" i="24"/>
  <c r="I73" i="24" s="1"/>
  <c r="J73" i="24" s="1"/>
  <c r="C28" i="14"/>
  <c r="H79" i="24"/>
  <c r="G11" i="17"/>
  <c r="D23" i="16"/>
  <c r="B17" i="27"/>
  <c r="E23" i="32"/>
  <c r="E32" i="32" s="1"/>
  <c r="E17" i="32"/>
  <c r="B11" i="33"/>
  <c r="F34" i="32"/>
  <c r="E26" i="38"/>
  <c r="D30" i="38"/>
  <c r="C49" i="14" l="1"/>
  <c r="D18" i="49"/>
  <c r="D29" i="49" s="1"/>
  <c r="D28" i="49"/>
  <c r="H18" i="49"/>
  <c r="H29" i="49" s="1"/>
  <c r="H28" i="49"/>
  <c r="G40" i="49"/>
  <c r="G51" i="49" s="1"/>
  <c r="J40" i="49"/>
  <c r="J51" i="49" s="1"/>
  <c r="L18" i="49"/>
  <c r="L29" i="49" s="1"/>
  <c r="L28" i="49"/>
  <c r="M18" i="49"/>
  <c r="M29" i="49" s="1"/>
  <c r="M28" i="49"/>
  <c r="F40" i="49"/>
  <c r="F51" i="49" s="1"/>
  <c r="J28" i="49"/>
  <c r="J18" i="49"/>
  <c r="J29" i="49" s="1"/>
  <c r="O17" i="49"/>
  <c r="O28" i="49" s="1"/>
  <c r="C18" i="49"/>
  <c r="C28" i="49"/>
  <c r="N28" i="49"/>
  <c r="N18" i="49"/>
  <c r="N29" i="49" s="1"/>
  <c r="E40" i="49"/>
  <c r="E51" i="49" s="1"/>
  <c r="E28" i="49"/>
  <c r="E18" i="49"/>
  <c r="E29" i="49" s="1"/>
  <c r="G18" i="49"/>
  <c r="G29" i="49" s="1"/>
  <c r="G28" i="49"/>
  <c r="F28" i="49"/>
  <c r="F18" i="49"/>
  <c r="F29" i="49" s="1"/>
  <c r="H40" i="49"/>
  <c r="H51" i="49" s="1"/>
  <c r="K28" i="49"/>
  <c r="K18" i="49"/>
  <c r="K29" i="49" s="1"/>
  <c r="K40" i="49"/>
  <c r="K51" i="49" s="1"/>
  <c r="D40" i="49"/>
  <c r="D51" i="49" s="1"/>
  <c r="I40" i="49"/>
  <c r="I51" i="49" s="1"/>
  <c r="C40" i="49"/>
  <c r="C42" i="49" s="1"/>
  <c r="I18" i="49"/>
  <c r="I29" i="49" s="1"/>
  <c r="I28" i="49"/>
  <c r="D49" i="14"/>
  <c r="D17" i="15" s="1"/>
  <c r="F49" i="14"/>
  <c r="F17" i="15" s="1"/>
  <c r="B43" i="34"/>
  <c r="B10" i="15" s="1"/>
  <c r="B12" i="15" s="1"/>
  <c r="B15" i="15" s="1"/>
  <c r="B47" i="34"/>
  <c r="B56" i="34" s="1"/>
  <c r="B57" i="34" s="1"/>
  <c r="E16" i="27" s="1"/>
  <c r="E34" i="32"/>
  <c r="D5" i="33"/>
  <c r="D11" i="33" s="1"/>
  <c r="D15" i="33" s="1"/>
  <c r="C40" i="34"/>
  <c r="C44" i="34" s="1"/>
  <c r="N74" i="23"/>
  <c r="N75" i="23" s="1"/>
  <c r="N89" i="23" s="1"/>
  <c r="C19" i="22" s="1"/>
  <c r="F40" i="34"/>
  <c r="F44" i="34" s="1"/>
  <c r="G40" i="34"/>
  <c r="G44" i="34" s="1"/>
  <c r="D40" i="34"/>
  <c r="D44" i="34" s="1"/>
  <c r="N29" i="23"/>
  <c r="N43" i="23" s="1"/>
  <c r="C5" i="33"/>
  <c r="C11" i="33" s="1"/>
  <c r="C15" i="33" s="1"/>
  <c r="C17" i="15"/>
  <c r="G17" i="15"/>
  <c r="D4" i="20"/>
  <c r="E37" i="34"/>
  <c r="E39" i="34" s="1"/>
  <c r="E5" i="33"/>
  <c r="J58" i="24"/>
  <c r="J79" i="24" s="1"/>
  <c r="I79" i="24"/>
  <c r="E44" i="27" s="1"/>
  <c r="F44" i="27" s="1"/>
  <c r="B31" i="27" s="1"/>
  <c r="O29" i="31"/>
  <c r="O35" i="31" s="1"/>
  <c r="K29" i="31"/>
  <c r="K35" i="31" s="1"/>
  <c r="G29" i="31"/>
  <c r="G35" i="31" s="1"/>
  <c r="J5" i="31"/>
  <c r="J11" i="31" s="1"/>
  <c r="F5" i="31"/>
  <c r="F11" i="31" s="1"/>
  <c r="J29" i="31"/>
  <c r="J35" i="31" s="1"/>
  <c r="E29" i="31"/>
  <c r="E35" i="31" s="1"/>
  <c r="N29" i="31"/>
  <c r="N35" i="31" s="1"/>
  <c r="I29" i="31"/>
  <c r="I35" i="31" s="1"/>
  <c r="D29" i="31"/>
  <c r="M29" i="31"/>
  <c r="M35" i="31" s="1"/>
  <c r="I5" i="31"/>
  <c r="I11" i="31" s="1"/>
  <c r="D5" i="31"/>
  <c r="L29" i="31"/>
  <c r="L35" i="31" s="1"/>
  <c r="H5" i="31"/>
  <c r="H11" i="31" s="1"/>
  <c r="F29" i="31"/>
  <c r="F35" i="31" s="1"/>
  <c r="E5" i="31"/>
  <c r="E11" i="31" s="1"/>
  <c r="H29" i="31"/>
  <c r="H35" i="31" s="1"/>
  <c r="K5" i="31"/>
  <c r="K11" i="31" s="1"/>
  <c r="G5" i="31"/>
  <c r="G11" i="31" s="1"/>
  <c r="L5" i="31"/>
  <c r="L11" i="31" s="1"/>
  <c r="D17" i="16"/>
  <c r="D13" i="17"/>
  <c r="F5" i="33"/>
  <c r="B7" i="25"/>
  <c r="B8" i="25"/>
  <c r="B6" i="25"/>
  <c r="E6" i="37"/>
  <c r="E7" i="37"/>
  <c r="C17" i="16"/>
  <c r="E15" i="16"/>
  <c r="F16" i="38"/>
  <c r="C10" i="27"/>
  <c r="B11" i="27"/>
  <c r="C11" i="27" s="1"/>
  <c r="G5" i="33"/>
  <c r="C9" i="15"/>
  <c r="C51" i="14"/>
  <c r="C31" i="14"/>
  <c r="B17" i="33"/>
  <c r="B16" i="33"/>
  <c r="B14" i="33"/>
  <c r="B18" i="33"/>
  <c r="B20" i="33"/>
  <c r="B19" i="33"/>
  <c r="F26" i="38"/>
  <c r="F30" i="38" s="1"/>
  <c r="E30" i="38"/>
  <c r="B15" i="33"/>
  <c r="C8" i="18"/>
  <c r="C7" i="18"/>
  <c r="G6" i="21"/>
  <c r="D50" i="14" l="1"/>
  <c r="K14" i="22"/>
  <c r="C31" i="27"/>
  <c r="B7" i="28" s="1"/>
  <c r="E49" i="14"/>
  <c r="E17" i="15" s="1"/>
  <c r="J42" i="49"/>
  <c r="G42" i="49"/>
  <c r="G32" i="49"/>
  <c r="I32" i="49"/>
  <c r="E42" i="49"/>
  <c r="F42" i="49"/>
  <c r="E32" i="49"/>
  <c r="K32" i="49"/>
  <c r="D42" i="49"/>
  <c r="K42" i="49"/>
  <c r="C45" i="49"/>
  <c r="C47" i="49" s="1"/>
  <c r="F32" i="49"/>
  <c r="N32" i="49"/>
  <c r="M32" i="49"/>
  <c r="C29" i="49"/>
  <c r="C32" i="49" s="1"/>
  <c r="O18" i="49"/>
  <c r="O29" i="49" s="1"/>
  <c r="O32" i="49" s="1"/>
  <c r="L32" i="49"/>
  <c r="H32" i="49"/>
  <c r="H7" i="37"/>
  <c r="C86" i="37" s="1"/>
  <c r="C51" i="49"/>
  <c r="O40" i="49"/>
  <c r="H6" i="37"/>
  <c r="C82" i="37" s="1"/>
  <c r="I42" i="49"/>
  <c r="H42" i="49"/>
  <c r="J32" i="49"/>
  <c r="D32" i="49"/>
  <c r="B6" i="26"/>
  <c r="B7" i="26" s="1"/>
  <c r="H89" i="24"/>
  <c r="I89" i="24" s="1"/>
  <c r="J89" i="24" s="1"/>
  <c r="D19" i="15"/>
  <c r="D43" i="34"/>
  <c r="D41" i="14" s="1"/>
  <c r="G43" i="34"/>
  <c r="G41" i="14" s="1"/>
  <c r="F43" i="34"/>
  <c r="F41" i="14" s="1"/>
  <c r="E40" i="34"/>
  <c r="E44" i="34" s="1"/>
  <c r="C43" i="34"/>
  <c r="C41" i="14" s="1"/>
  <c r="B19" i="22"/>
  <c r="B20" i="14"/>
  <c r="N44" i="23"/>
  <c r="B20" i="22" s="1"/>
  <c r="J15" i="22" s="1"/>
  <c r="C5" i="25"/>
  <c r="C6" i="25" s="1"/>
  <c r="H93" i="24"/>
  <c r="I93" i="24" s="1"/>
  <c r="J93" i="24" s="1"/>
  <c r="H102" i="24"/>
  <c r="I102" i="24" s="1"/>
  <c r="J102" i="24" s="1"/>
  <c r="G12" i="21"/>
  <c r="C20" i="20"/>
  <c r="H105" i="24"/>
  <c r="I105" i="24" s="1"/>
  <c r="J105" i="24" s="1"/>
  <c r="B13" i="37"/>
  <c r="E16" i="37" s="1"/>
  <c r="H16" i="37" s="1"/>
  <c r="H98" i="24"/>
  <c r="I98" i="24" s="1"/>
  <c r="J98" i="24" s="1"/>
  <c r="D28" i="14"/>
  <c r="H88" i="24"/>
  <c r="I88" i="24" s="1"/>
  <c r="J88" i="24" s="1"/>
  <c r="G11" i="21"/>
  <c r="H91" i="24"/>
  <c r="I91" i="24" s="1"/>
  <c r="J91" i="24" s="1"/>
  <c r="H106" i="24"/>
  <c r="H96" i="24"/>
  <c r="I96" i="24" s="1"/>
  <c r="J96" i="24" s="1"/>
  <c r="H101" i="24"/>
  <c r="I101" i="24" s="1"/>
  <c r="J101" i="24" s="1"/>
  <c r="C18" i="20"/>
  <c r="D13" i="37" s="1"/>
  <c r="D27" i="14"/>
  <c r="D51" i="14" s="1"/>
  <c r="H87" i="24"/>
  <c r="I87" i="24" s="1"/>
  <c r="J87" i="24" s="1"/>
  <c r="H95" i="24"/>
  <c r="I95" i="24" s="1"/>
  <c r="J95" i="24" s="1"/>
  <c r="P54" i="31"/>
  <c r="F54" i="31" s="1"/>
  <c r="H99" i="24"/>
  <c r="I99" i="24" s="1"/>
  <c r="J99" i="24" s="1"/>
  <c r="H94" i="24"/>
  <c r="I94" i="24" s="1"/>
  <c r="J94" i="24" s="1"/>
  <c r="H97" i="24"/>
  <c r="I97" i="24" s="1"/>
  <c r="J97" i="24" s="1"/>
  <c r="H92" i="24"/>
  <c r="I92" i="24" s="1"/>
  <c r="J92" i="24" s="1"/>
  <c r="H100" i="24"/>
  <c r="I100" i="24" s="1"/>
  <c r="J100" i="24" s="1"/>
  <c r="H103" i="24"/>
  <c r="I103" i="24" s="1"/>
  <c r="J103" i="24" s="1"/>
  <c r="H85" i="24"/>
  <c r="I85" i="24" s="1"/>
  <c r="J85" i="24" s="1"/>
  <c r="C20" i="15"/>
  <c r="C21" i="27"/>
  <c r="C16" i="27"/>
  <c r="C15" i="27"/>
  <c r="C22" i="27"/>
  <c r="C9" i="18"/>
  <c r="C10" i="16" s="1"/>
  <c r="C37" i="16" s="1"/>
  <c r="E17" i="16"/>
  <c r="E13" i="17"/>
  <c r="C14" i="31"/>
  <c r="D13" i="31" s="1"/>
  <c r="D11" i="31"/>
  <c r="D35" i="31"/>
  <c r="P3" i="31"/>
  <c r="P5" i="31"/>
  <c r="M5" i="31" s="1"/>
  <c r="C9" i="16"/>
  <c r="B37" i="16"/>
  <c r="G11" i="33"/>
  <c r="D10" i="20"/>
  <c r="D12" i="20" s="1"/>
  <c r="D14" i="20" s="1"/>
  <c r="D16" i="20" s="1"/>
  <c r="F151" i="27" s="1"/>
  <c r="B13" i="28"/>
  <c r="G16" i="38"/>
  <c r="G15" i="16" s="1"/>
  <c r="F15" i="16"/>
  <c r="B21" i="33"/>
  <c r="D16" i="33"/>
  <c r="D20" i="33"/>
  <c r="D18" i="33"/>
  <c r="D48" i="14"/>
  <c r="D17" i="33"/>
  <c r="D14" i="33"/>
  <c r="B10" i="25"/>
  <c r="B9" i="25"/>
  <c r="F11" i="33"/>
  <c r="C17" i="33"/>
  <c r="C20" i="33"/>
  <c r="C48" i="14"/>
  <c r="C16" i="33"/>
  <c r="C18" i="33"/>
  <c r="C14" i="33"/>
  <c r="E11" i="33"/>
  <c r="E15" i="33" s="1"/>
  <c r="C50" i="14" l="1"/>
  <c r="C53" i="14" s="1"/>
  <c r="J14" i="22"/>
  <c r="J6" i="37"/>
  <c r="K6" i="37" s="1"/>
  <c r="C81" i="37"/>
  <c r="J7" i="37"/>
  <c r="K7" i="37" s="1"/>
  <c r="L7" i="37" s="1"/>
  <c r="C85" i="37"/>
  <c r="O42" i="49"/>
  <c r="O51" i="49"/>
  <c r="C46" i="49"/>
  <c r="D44" i="49"/>
  <c r="D45" i="49" s="1"/>
  <c r="B8" i="26"/>
  <c r="B10" i="26" s="1"/>
  <c r="C8" i="25"/>
  <c r="C10" i="25" s="1"/>
  <c r="N125" i="23"/>
  <c r="N126" i="23" s="1"/>
  <c r="N140" i="23" s="1"/>
  <c r="D19" i="22" s="1"/>
  <c r="C7" i="25"/>
  <c r="E43" i="34"/>
  <c r="E41" i="14" s="1"/>
  <c r="G13" i="21"/>
  <c r="D31" i="14"/>
  <c r="D7" i="18"/>
  <c r="N90" i="23"/>
  <c r="C20" i="22" s="1"/>
  <c r="K15" i="22" s="1"/>
  <c r="K54" i="31"/>
  <c r="K51" i="31" s="1"/>
  <c r="M54" i="31"/>
  <c r="M60" i="31" s="1"/>
  <c r="I54" i="31"/>
  <c r="I60" i="31" s="1"/>
  <c r="E54" i="31"/>
  <c r="E60" i="31" s="1"/>
  <c r="D9" i="15"/>
  <c r="D38" i="15" s="1"/>
  <c r="D8" i="18"/>
  <c r="I106" i="24"/>
  <c r="E68" i="27" s="1"/>
  <c r="F68" i="27" s="1"/>
  <c r="B55" i="27" s="1"/>
  <c r="J106" i="24"/>
  <c r="L54" i="31"/>
  <c r="L60" i="31" s="1"/>
  <c r="D54" i="31"/>
  <c r="D51" i="31" s="1"/>
  <c r="O54" i="31"/>
  <c r="O60" i="31" s="1"/>
  <c r="N54" i="31"/>
  <c r="N51" i="31" s="1"/>
  <c r="E15" i="37"/>
  <c r="H54" i="31"/>
  <c r="H60" i="31" s="1"/>
  <c r="J54" i="31"/>
  <c r="J51" i="31" s="1"/>
  <c r="G54" i="31"/>
  <c r="G60" i="31" s="1"/>
  <c r="D20" i="15"/>
  <c r="D53" i="14"/>
  <c r="C21" i="33"/>
  <c r="B12" i="25"/>
  <c r="E30" i="27"/>
  <c r="F30" i="27" s="1"/>
  <c r="E4" i="20"/>
  <c r="N5" i="31"/>
  <c r="O5" i="31"/>
  <c r="M11" i="31"/>
  <c r="P11" i="31" s="1"/>
  <c r="E20" i="33"/>
  <c r="E17" i="33"/>
  <c r="E48" i="14"/>
  <c r="E16" i="33"/>
  <c r="E18" i="33"/>
  <c r="E14" i="33"/>
  <c r="E32" i="27"/>
  <c r="F32" i="27" s="1"/>
  <c r="B13" i="25"/>
  <c r="D18" i="15"/>
  <c r="F51" i="31"/>
  <c r="F60" i="31"/>
  <c r="G20" i="33"/>
  <c r="G48" i="14"/>
  <c r="G16" i="33"/>
  <c r="G17" i="33"/>
  <c r="G18" i="33"/>
  <c r="G14" i="33"/>
  <c r="D40" i="31"/>
  <c r="P35" i="31"/>
  <c r="D38" i="31"/>
  <c r="D16" i="31"/>
  <c r="F20" i="33"/>
  <c r="F18" i="33"/>
  <c r="F17" i="33"/>
  <c r="F16" i="33"/>
  <c r="F48" i="14"/>
  <c r="F14" i="33"/>
  <c r="F13" i="17"/>
  <c r="F17" i="16"/>
  <c r="D86" i="37"/>
  <c r="D85" i="37"/>
  <c r="J16" i="37"/>
  <c r="K16" i="37" s="1"/>
  <c r="L16" i="37" s="1"/>
  <c r="C18" i="15"/>
  <c r="C37" i="15" s="1"/>
  <c r="F15" i="33"/>
  <c r="D21" i="33"/>
  <c r="G13" i="17"/>
  <c r="G17" i="16"/>
  <c r="G15" i="33"/>
  <c r="D14" i="31"/>
  <c r="E13" i="31" s="1"/>
  <c r="E50" i="14" l="1"/>
  <c r="L14" i="22"/>
  <c r="C55" i="27"/>
  <c r="J8" i="37"/>
  <c r="D46" i="49"/>
  <c r="D53" i="49" s="1"/>
  <c r="D54" i="49" s="1"/>
  <c r="E44" i="49"/>
  <c r="C53" i="49"/>
  <c r="H15" i="37"/>
  <c r="J15" i="37" s="1"/>
  <c r="K15" i="37" s="1"/>
  <c r="D47" i="49"/>
  <c r="C9" i="25"/>
  <c r="E54" i="27" s="1"/>
  <c r="F54" i="27" s="1"/>
  <c r="K60" i="31"/>
  <c r="D20" i="20"/>
  <c r="H112" i="24"/>
  <c r="I112" i="24" s="1"/>
  <c r="J112" i="24" s="1"/>
  <c r="H124" i="24"/>
  <c r="I124" i="24" s="1"/>
  <c r="J124" i="24" s="1"/>
  <c r="H118" i="24"/>
  <c r="I118" i="24" s="1"/>
  <c r="J118" i="24" s="1"/>
  <c r="D18" i="20"/>
  <c r="D22" i="37" s="1"/>
  <c r="G19" i="21"/>
  <c r="H126" i="24"/>
  <c r="I126" i="24" s="1"/>
  <c r="J126" i="24" s="1"/>
  <c r="H115" i="24"/>
  <c r="I115" i="24" s="1"/>
  <c r="J115" i="24" s="1"/>
  <c r="E28" i="14"/>
  <c r="H129" i="24"/>
  <c r="I129" i="24" s="1"/>
  <c r="J129" i="24" s="1"/>
  <c r="H116" i="24"/>
  <c r="I116" i="24" s="1"/>
  <c r="J116" i="24" s="1"/>
  <c r="H121" i="24"/>
  <c r="I121" i="24" s="1"/>
  <c r="J121" i="24" s="1"/>
  <c r="H130" i="24"/>
  <c r="I130" i="24" s="1"/>
  <c r="J130" i="24" s="1"/>
  <c r="P80" i="31"/>
  <c r="H80" i="31" s="1"/>
  <c r="H123" i="24"/>
  <c r="I123" i="24" s="1"/>
  <c r="J123" i="24" s="1"/>
  <c r="D5" i="25"/>
  <c r="D6" i="25" s="1"/>
  <c r="G18" i="21"/>
  <c r="H125" i="24"/>
  <c r="I125" i="24" s="1"/>
  <c r="J125" i="24" s="1"/>
  <c r="H119" i="24"/>
  <c r="I119" i="24" s="1"/>
  <c r="J119" i="24" s="1"/>
  <c r="E27" i="14"/>
  <c r="G20" i="21"/>
  <c r="H132" i="24"/>
  <c r="I132" i="24" s="1"/>
  <c r="J132" i="24" s="1"/>
  <c r="H127" i="24"/>
  <c r="I127" i="24" s="1"/>
  <c r="J127" i="24" s="1"/>
  <c r="E29" i="14"/>
  <c r="H128" i="24"/>
  <c r="I128" i="24" s="1"/>
  <c r="J128" i="24" s="1"/>
  <c r="H114" i="24"/>
  <c r="I114" i="24" s="1"/>
  <c r="J114" i="24" s="1"/>
  <c r="H133" i="24"/>
  <c r="H120" i="24"/>
  <c r="I120" i="24" s="1"/>
  <c r="J120" i="24" s="1"/>
  <c r="H122" i="24"/>
  <c r="I122" i="24" s="1"/>
  <c r="J122" i="24" s="1"/>
  <c r="B22" i="37"/>
  <c r="E24" i="37" s="1"/>
  <c r="H24" i="37" s="1"/>
  <c r="E19" i="15"/>
  <c r="C19" i="15"/>
  <c r="C38" i="15" s="1"/>
  <c r="I51" i="31"/>
  <c r="M51" i="31"/>
  <c r="E51" i="31"/>
  <c r="D9" i="18"/>
  <c r="D10" i="16" s="1"/>
  <c r="D37" i="16" s="1"/>
  <c r="D37" i="15"/>
  <c r="O51" i="31"/>
  <c r="L51" i="31"/>
  <c r="D60" i="31"/>
  <c r="D9" i="16"/>
  <c r="H51" i="31"/>
  <c r="B28" i="28"/>
  <c r="N60" i="31"/>
  <c r="J60" i="31"/>
  <c r="G51" i="31"/>
  <c r="E21" i="33"/>
  <c r="B39" i="27"/>
  <c r="B45" i="27"/>
  <c r="E14" i="31"/>
  <c r="F13" i="31" s="1"/>
  <c r="F18" i="15"/>
  <c r="G21" i="33"/>
  <c r="G18" i="15"/>
  <c r="H6" i="28"/>
  <c r="B33" i="27"/>
  <c r="C33" i="27" s="1"/>
  <c r="E56" i="27"/>
  <c r="F56" i="27" s="1"/>
  <c r="C13" i="25"/>
  <c r="E16" i="31"/>
  <c r="D23" i="31"/>
  <c r="E37" i="31"/>
  <c r="E40" i="31" s="1"/>
  <c r="D39" i="31"/>
  <c r="E10" i="20"/>
  <c r="E12" i="20" s="1"/>
  <c r="E14" i="20" s="1"/>
  <c r="E16" i="20" s="1"/>
  <c r="F152" i="27" s="1"/>
  <c r="K8" i="37"/>
  <c r="L6" i="37"/>
  <c r="L8" i="37" s="1"/>
  <c r="C46" i="34" s="1"/>
  <c r="D15" i="31"/>
  <c r="F21" i="33"/>
  <c r="D47" i="31"/>
  <c r="B22" i="28"/>
  <c r="E18" i="15"/>
  <c r="D82" i="37" l="1"/>
  <c r="C149" i="27"/>
  <c r="D81" i="37"/>
  <c r="J17" i="37"/>
  <c r="C54" i="49"/>
  <c r="E45" i="49"/>
  <c r="F44" i="49" s="1"/>
  <c r="C12" i="25"/>
  <c r="C47" i="34"/>
  <c r="N80" i="31"/>
  <c r="N77" i="31" s="1"/>
  <c r="I80" i="31"/>
  <c r="I77" i="31" s="1"/>
  <c r="E8" i="18"/>
  <c r="N141" i="23"/>
  <c r="D20" i="22" s="1"/>
  <c r="L15" i="22" s="1"/>
  <c r="E7" i="18"/>
  <c r="D80" i="31"/>
  <c r="D86" i="31" s="1"/>
  <c r="O80" i="31"/>
  <c r="O77" i="31" s="1"/>
  <c r="J80" i="31"/>
  <c r="J86" i="31" s="1"/>
  <c r="E80" i="31"/>
  <c r="E77" i="31" s="1"/>
  <c r="E25" i="37"/>
  <c r="F80" i="31"/>
  <c r="F77" i="31" s="1"/>
  <c r="I133" i="24"/>
  <c r="E92" i="27" s="1"/>
  <c r="F92" i="27" s="1"/>
  <c r="B79" i="27" s="1"/>
  <c r="K80" i="31"/>
  <c r="K77" i="31" s="1"/>
  <c r="L80" i="31"/>
  <c r="L86" i="31" s="1"/>
  <c r="M80" i="31"/>
  <c r="M77" i="31" s="1"/>
  <c r="E9" i="15"/>
  <c r="E9" i="16" s="1"/>
  <c r="G80" i="31"/>
  <c r="G86" i="31" s="1"/>
  <c r="D7" i="25"/>
  <c r="D8" i="25"/>
  <c r="D10" i="25" s="1"/>
  <c r="E31" i="14"/>
  <c r="G21" i="21"/>
  <c r="E51" i="14"/>
  <c r="E20" i="15" s="1"/>
  <c r="E26" i="37"/>
  <c r="J133" i="24"/>
  <c r="N176" i="23"/>
  <c r="N177" i="23" s="1"/>
  <c r="N189" i="23" s="1"/>
  <c r="E19" i="22" s="1"/>
  <c r="P51" i="31"/>
  <c r="P60" i="31"/>
  <c r="B69" i="27"/>
  <c r="B63" i="27"/>
  <c r="E15" i="31"/>
  <c r="E22" i="31" s="1"/>
  <c r="F4" i="20"/>
  <c r="F10" i="20" s="1"/>
  <c r="F12" i="20" s="1"/>
  <c r="F14" i="20" s="1"/>
  <c r="F16" i="20" s="1"/>
  <c r="E47" i="31"/>
  <c r="K17" i="37"/>
  <c r="L15" i="37"/>
  <c r="L17" i="37" s="1"/>
  <c r="D46" i="34" s="1"/>
  <c r="M8" i="37"/>
  <c r="E38" i="31"/>
  <c r="F37" i="31" s="1"/>
  <c r="F40" i="31" s="1"/>
  <c r="D46" i="31"/>
  <c r="D13" i="28"/>
  <c r="B41" i="27"/>
  <c r="C13" i="28"/>
  <c r="D22" i="31"/>
  <c r="F16" i="31"/>
  <c r="E23" i="31"/>
  <c r="H7" i="28"/>
  <c r="B57" i="27"/>
  <c r="C57" i="27" s="1"/>
  <c r="H86" i="31"/>
  <c r="H77" i="31"/>
  <c r="E82" i="37"/>
  <c r="E81" i="37"/>
  <c r="J24" i="37"/>
  <c r="F14" i="31"/>
  <c r="G13" i="31" s="1"/>
  <c r="F50" i="14" l="1"/>
  <c r="M14" i="22"/>
  <c r="C150" i="27"/>
  <c r="C79" i="27"/>
  <c r="F26" i="50"/>
  <c r="F153" i="27"/>
  <c r="B118" i="34"/>
  <c r="B115" i="34" s="1"/>
  <c r="B113" i="34"/>
  <c r="E46" i="49"/>
  <c r="E53" i="49" s="1"/>
  <c r="E54" i="49" s="1"/>
  <c r="F25" i="50"/>
  <c r="G25" i="50" s="1"/>
  <c r="G26" i="50"/>
  <c r="G27" i="50"/>
  <c r="F24" i="50"/>
  <c r="G24" i="50" s="1"/>
  <c r="H26" i="37"/>
  <c r="E89" i="37" s="1"/>
  <c r="O91" i="49"/>
  <c r="O69" i="49"/>
  <c r="H25" i="37"/>
  <c r="J25" i="37" s="1"/>
  <c r="K25" i="37" s="1"/>
  <c r="L25" i="37" s="1"/>
  <c r="F45" i="49"/>
  <c r="G44" i="49" s="1"/>
  <c r="E47" i="49"/>
  <c r="C42" i="14"/>
  <c r="D47" i="34"/>
  <c r="E86" i="31"/>
  <c r="E9" i="18"/>
  <c r="E10" i="16" s="1"/>
  <c r="E37" i="16" s="1"/>
  <c r="L77" i="31"/>
  <c r="I86" i="31"/>
  <c r="G77" i="31"/>
  <c r="N86" i="31"/>
  <c r="H155" i="24"/>
  <c r="I155" i="24" s="1"/>
  <c r="J155" i="24" s="1"/>
  <c r="O86" i="31"/>
  <c r="M86" i="31"/>
  <c r="D9" i="25"/>
  <c r="E78" i="27" s="1"/>
  <c r="F78" i="27" s="1"/>
  <c r="D77" i="31"/>
  <c r="F86" i="31"/>
  <c r="K86" i="31"/>
  <c r="J77" i="31"/>
  <c r="B43" i="28"/>
  <c r="E37" i="15"/>
  <c r="E38" i="15"/>
  <c r="E5" i="25"/>
  <c r="E6" i="25" s="1"/>
  <c r="H151" i="24"/>
  <c r="I151" i="24" s="1"/>
  <c r="J151" i="24" s="1"/>
  <c r="F28" i="14"/>
  <c r="P105" i="31"/>
  <c r="I105" i="31" s="1"/>
  <c r="H152" i="24"/>
  <c r="I152" i="24" s="1"/>
  <c r="J152" i="24" s="1"/>
  <c r="G27" i="21"/>
  <c r="F30" i="14"/>
  <c r="B32" i="37"/>
  <c r="E34" i="37" s="1"/>
  <c r="E20" i="20"/>
  <c r="H156" i="24"/>
  <c r="I156" i="24" s="1"/>
  <c r="J156" i="24" s="1"/>
  <c r="H143" i="24"/>
  <c r="I143" i="24" s="1"/>
  <c r="J143" i="24" s="1"/>
  <c r="E53" i="14"/>
  <c r="H139" i="24"/>
  <c r="I139" i="24" s="1"/>
  <c r="J139" i="24" s="1"/>
  <c r="G26" i="21"/>
  <c r="H145" i="24"/>
  <c r="I145" i="24" s="1"/>
  <c r="J145" i="24" s="1"/>
  <c r="H146" i="24"/>
  <c r="I146" i="24" s="1"/>
  <c r="J146" i="24" s="1"/>
  <c r="G28" i="21"/>
  <c r="H150" i="24"/>
  <c r="I150" i="24" s="1"/>
  <c r="J150" i="24" s="1"/>
  <c r="H149" i="24"/>
  <c r="I149" i="24" s="1"/>
  <c r="J149" i="24" s="1"/>
  <c r="E18" i="20"/>
  <c r="F8" i="18" s="1"/>
  <c r="H142" i="24"/>
  <c r="I142" i="24" s="1"/>
  <c r="J142" i="24" s="1"/>
  <c r="H141" i="24"/>
  <c r="I141" i="24" s="1"/>
  <c r="J141" i="24" s="1"/>
  <c r="H160" i="24"/>
  <c r="F27" i="14"/>
  <c r="H147" i="24"/>
  <c r="I147" i="24" s="1"/>
  <c r="J147" i="24" s="1"/>
  <c r="H159" i="24"/>
  <c r="I159" i="24" s="1"/>
  <c r="J159" i="24" s="1"/>
  <c r="H153" i="24"/>
  <c r="I153" i="24" s="1"/>
  <c r="J153" i="24" s="1"/>
  <c r="G29" i="21"/>
  <c r="F29" i="14"/>
  <c r="H154" i="24"/>
  <c r="I154" i="24" s="1"/>
  <c r="J154" i="24" s="1"/>
  <c r="H148" i="24"/>
  <c r="I148" i="24" s="1"/>
  <c r="J148" i="24" s="1"/>
  <c r="H157" i="24"/>
  <c r="I157" i="24" s="1"/>
  <c r="J157" i="24" s="1"/>
  <c r="F19" i="15"/>
  <c r="E24" i="31"/>
  <c r="E39" i="31"/>
  <c r="E46" i="31" s="1"/>
  <c r="E48" i="31" s="1"/>
  <c r="F15" i="31"/>
  <c r="F22" i="31" s="1"/>
  <c r="F47" i="31"/>
  <c r="C15" i="28"/>
  <c r="E13" i="28"/>
  <c r="E80" i="27"/>
  <c r="F80" i="27" s="1"/>
  <c r="D13" i="25"/>
  <c r="K24" i="37"/>
  <c r="F23" i="31"/>
  <c r="G16" i="31"/>
  <c r="D24" i="31"/>
  <c r="B37" i="28"/>
  <c r="M17" i="37"/>
  <c r="G14" i="31"/>
  <c r="H13" i="31" s="1"/>
  <c r="B65" i="27"/>
  <c r="D48" i="31"/>
  <c r="F38" i="31"/>
  <c r="G37" i="31" s="1"/>
  <c r="F47" i="49" l="1"/>
  <c r="J26" i="37"/>
  <c r="K26" i="37" s="1"/>
  <c r="L26" i="37" s="1"/>
  <c r="E86" i="37"/>
  <c r="E85" i="37"/>
  <c r="D91" i="49"/>
  <c r="H91" i="49"/>
  <c r="E91" i="49"/>
  <c r="E94" i="49" s="1"/>
  <c r="I91" i="49"/>
  <c r="J91" i="49"/>
  <c r="N91" i="49"/>
  <c r="K91" i="49"/>
  <c r="F91" i="49"/>
  <c r="G91" i="49"/>
  <c r="G94" i="49" s="1"/>
  <c r="M91" i="49"/>
  <c r="C91" i="49"/>
  <c r="C94" i="49" s="1"/>
  <c r="L91" i="49"/>
  <c r="F46" i="49"/>
  <c r="E69" i="49"/>
  <c r="E71" i="49" s="1"/>
  <c r="F69" i="49"/>
  <c r="F71" i="49" s="1"/>
  <c r="G69" i="49"/>
  <c r="G71" i="49" s="1"/>
  <c r="M69" i="49"/>
  <c r="M71" i="49" s="1"/>
  <c r="D69" i="49"/>
  <c r="D71" i="49" s="1"/>
  <c r="H69" i="49"/>
  <c r="H71" i="49" s="1"/>
  <c r="C69" i="49"/>
  <c r="C71" i="49" s="1"/>
  <c r="L69" i="49"/>
  <c r="L71" i="49" s="1"/>
  <c r="I69" i="49"/>
  <c r="I71" i="49" s="1"/>
  <c r="J69" i="49"/>
  <c r="J71" i="49" s="1"/>
  <c r="N69" i="49"/>
  <c r="N71" i="49" s="1"/>
  <c r="K69" i="49"/>
  <c r="K71" i="49" s="1"/>
  <c r="G45" i="49"/>
  <c r="H44" i="49" s="1"/>
  <c r="H34" i="37"/>
  <c r="F81" i="37" s="1"/>
  <c r="E90" i="37"/>
  <c r="D42" i="14"/>
  <c r="H105" i="31"/>
  <c r="H102" i="31" s="1"/>
  <c r="D12" i="25"/>
  <c r="P86" i="31"/>
  <c r="P77" i="31"/>
  <c r="L105" i="31"/>
  <c r="L102" i="31" s="1"/>
  <c r="K105" i="31"/>
  <c r="K111" i="31" s="1"/>
  <c r="E105" i="31"/>
  <c r="E102" i="31" s="1"/>
  <c r="E7" i="25"/>
  <c r="E8" i="25"/>
  <c r="E10" i="25" s="1"/>
  <c r="N105" i="31"/>
  <c r="N102" i="31" s="1"/>
  <c r="G105" i="31"/>
  <c r="G111" i="31" s="1"/>
  <c r="D32" i="37"/>
  <c r="D105" i="31"/>
  <c r="D102" i="31" s="1"/>
  <c r="M105" i="31"/>
  <c r="M111" i="31" s="1"/>
  <c r="J105" i="31"/>
  <c r="J111" i="31" s="1"/>
  <c r="O105" i="31"/>
  <c r="O111" i="31" s="1"/>
  <c r="N190" i="23"/>
  <c r="E20" i="22" s="1"/>
  <c r="M15" i="22" s="1"/>
  <c r="G30" i="21"/>
  <c r="F7" i="18"/>
  <c r="F9" i="18" s="1"/>
  <c r="F10" i="16" s="1"/>
  <c r="F105" i="31"/>
  <c r="F111" i="31" s="1"/>
  <c r="F9" i="15"/>
  <c r="F9" i="16" s="1"/>
  <c r="F51" i="14"/>
  <c r="F53" i="14" s="1"/>
  <c r="E37" i="37"/>
  <c r="E35" i="37"/>
  <c r="E36" i="37"/>
  <c r="F31" i="14"/>
  <c r="J160" i="24"/>
  <c r="I160" i="24"/>
  <c r="E116" i="27" s="1"/>
  <c r="F116" i="27" s="1"/>
  <c r="B103" i="27" s="1"/>
  <c r="H178" i="24"/>
  <c r="I178" i="24" s="1"/>
  <c r="J178" i="24" s="1"/>
  <c r="N225" i="23"/>
  <c r="N226" i="23" s="1"/>
  <c r="N237" i="23" s="1"/>
  <c r="H169" i="24"/>
  <c r="I169" i="24" s="1"/>
  <c r="J169" i="24" s="1"/>
  <c r="H172" i="24"/>
  <c r="I172" i="24" s="1"/>
  <c r="J172" i="24" s="1"/>
  <c r="G35" i="21"/>
  <c r="H170" i="24"/>
  <c r="I170" i="24" s="1"/>
  <c r="J170" i="24" s="1"/>
  <c r="G27" i="14"/>
  <c r="B43" i="37"/>
  <c r="E45" i="37" s="1"/>
  <c r="H45" i="37" s="1"/>
  <c r="G81" i="37" s="1"/>
  <c r="G28" i="14"/>
  <c r="F5" i="25"/>
  <c r="F6" i="25" s="1"/>
  <c r="H179" i="24"/>
  <c r="I179" i="24" s="1"/>
  <c r="J179" i="24" s="1"/>
  <c r="H166" i="24"/>
  <c r="I166" i="24" s="1"/>
  <c r="J166" i="24" s="1"/>
  <c r="G29" i="14"/>
  <c r="H173" i="24"/>
  <c r="I173" i="24" s="1"/>
  <c r="J173" i="24" s="1"/>
  <c r="F20" i="20"/>
  <c r="H175" i="24"/>
  <c r="I175" i="24" s="1"/>
  <c r="J175" i="24" s="1"/>
  <c r="G37" i="21"/>
  <c r="H176" i="24"/>
  <c r="I176" i="24" s="1"/>
  <c r="J176" i="24" s="1"/>
  <c r="H177" i="24"/>
  <c r="I177" i="24" s="1"/>
  <c r="J177" i="24" s="1"/>
  <c r="G30" i="14"/>
  <c r="H186" i="24"/>
  <c r="I186" i="24" s="1"/>
  <c r="J186" i="24" s="1"/>
  <c r="H168" i="24"/>
  <c r="I168" i="24" s="1"/>
  <c r="J168" i="24" s="1"/>
  <c r="H183" i="24"/>
  <c r="I183" i="24" s="1"/>
  <c r="J183" i="24" s="1"/>
  <c r="H187" i="24"/>
  <c r="H181" i="24"/>
  <c r="I181" i="24" s="1"/>
  <c r="J181" i="24" s="1"/>
  <c r="P130" i="31"/>
  <c r="J130" i="31" s="1"/>
  <c r="J136" i="31" s="1"/>
  <c r="H182" i="24"/>
  <c r="I182" i="24" s="1"/>
  <c r="J182" i="24" s="1"/>
  <c r="H180" i="24"/>
  <c r="I180" i="24" s="1"/>
  <c r="J180" i="24" s="1"/>
  <c r="G36" i="21"/>
  <c r="G38" i="21"/>
  <c r="F18" i="20"/>
  <c r="G7" i="18" s="1"/>
  <c r="H174" i="24"/>
  <c r="I174" i="24" s="1"/>
  <c r="J174" i="24" s="1"/>
  <c r="H184" i="24"/>
  <c r="I184" i="24" s="1"/>
  <c r="J184" i="24" s="1"/>
  <c r="B93" i="27"/>
  <c r="B87" i="27"/>
  <c r="F24" i="31"/>
  <c r="F39" i="31"/>
  <c r="F46" i="31" s="1"/>
  <c r="F48" i="31" s="1"/>
  <c r="G38" i="31"/>
  <c r="H37" i="31" s="1"/>
  <c r="C56" i="34"/>
  <c r="C57" i="34" s="1"/>
  <c r="C43" i="14"/>
  <c r="H14" i="31"/>
  <c r="I13" i="31" s="1"/>
  <c r="G23" i="31"/>
  <c r="H16" i="31"/>
  <c r="G40" i="31"/>
  <c r="L24" i="37"/>
  <c r="G15" i="31"/>
  <c r="H8" i="28"/>
  <c r="B81" i="27"/>
  <c r="C81" i="27" s="1"/>
  <c r="I111" i="31"/>
  <c r="I102" i="31"/>
  <c r="B58" i="28" l="1"/>
  <c r="C151" i="27"/>
  <c r="J27" i="37"/>
  <c r="K27" i="37"/>
  <c r="L27" i="37"/>
  <c r="E46" i="34" s="1"/>
  <c r="E47" i="34" s="1"/>
  <c r="G46" i="49"/>
  <c r="G53" i="49" s="1"/>
  <c r="G54" i="49" s="1"/>
  <c r="F82" i="37"/>
  <c r="J34" i="37"/>
  <c r="K34" i="37" s="1"/>
  <c r="J72" i="49"/>
  <c r="J83" i="49" s="1"/>
  <c r="J82" i="49"/>
  <c r="F72" i="49"/>
  <c r="F83" i="49" s="1"/>
  <c r="F82" i="49"/>
  <c r="K94" i="49"/>
  <c r="K105" i="49" s="1"/>
  <c r="E72" i="49"/>
  <c r="E83" i="49" s="1"/>
  <c r="E82" i="49"/>
  <c r="J94" i="49"/>
  <c r="J105" i="49" s="1"/>
  <c r="I94" i="49"/>
  <c r="I105" i="49" s="1"/>
  <c r="H72" i="49"/>
  <c r="H83" i="49" s="1"/>
  <c r="H82" i="49"/>
  <c r="C96" i="49"/>
  <c r="C105" i="49"/>
  <c r="E96" i="49"/>
  <c r="E105" i="49"/>
  <c r="L82" i="49"/>
  <c r="L72" i="49"/>
  <c r="L83" i="49" s="1"/>
  <c r="L94" i="49"/>
  <c r="L105" i="49" s="1"/>
  <c r="L96" i="49"/>
  <c r="H36" i="37"/>
  <c r="F89" i="37" s="1"/>
  <c r="H45" i="49"/>
  <c r="I44" i="49" s="1"/>
  <c r="D72" i="49"/>
  <c r="D83" i="49" s="1"/>
  <c r="D82" i="49"/>
  <c r="M96" i="49"/>
  <c r="M94" i="49"/>
  <c r="M105" i="49" s="1"/>
  <c r="H94" i="49"/>
  <c r="H105" i="49" s="1"/>
  <c r="I72" i="49"/>
  <c r="I83" i="49" s="1"/>
  <c r="I82" i="49"/>
  <c r="N94" i="49"/>
  <c r="N105" i="49" s="1"/>
  <c r="N96" i="49"/>
  <c r="F4" i="50"/>
  <c r="C72" i="49"/>
  <c r="C82" i="49"/>
  <c r="O71" i="49"/>
  <c r="O82" i="49" s="1"/>
  <c r="H35" i="37"/>
  <c r="F85" i="37" s="1"/>
  <c r="K82" i="49"/>
  <c r="K72" i="49"/>
  <c r="K83" i="49" s="1"/>
  <c r="M82" i="49"/>
  <c r="M72" i="49"/>
  <c r="M83" i="49" s="1"/>
  <c r="G96" i="49"/>
  <c r="G105" i="49"/>
  <c r="D94" i="49"/>
  <c r="D105" i="49" s="1"/>
  <c r="F53" i="49"/>
  <c r="H37" i="37"/>
  <c r="F94" i="37" s="1"/>
  <c r="N72" i="49"/>
  <c r="N83" i="49" s="1"/>
  <c r="N82" i="49"/>
  <c r="G72" i="49"/>
  <c r="G83" i="49" s="1"/>
  <c r="G82" i="49"/>
  <c r="F94" i="49"/>
  <c r="F105" i="49" s="1"/>
  <c r="G47" i="49"/>
  <c r="L111" i="31"/>
  <c r="H111" i="31"/>
  <c r="O102" i="31"/>
  <c r="E111" i="31"/>
  <c r="E9" i="25"/>
  <c r="E12" i="25" s="1"/>
  <c r="F102" i="27" s="1"/>
  <c r="K102" i="31"/>
  <c r="G102" i="31"/>
  <c r="F102" i="31"/>
  <c r="M102" i="31"/>
  <c r="N111" i="31"/>
  <c r="F37" i="15"/>
  <c r="D111" i="31"/>
  <c r="F38" i="15"/>
  <c r="J102" i="31"/>
  <c r="F20" i="15"/>
  <c r="F37" i="16"/>
  <c r="C103" i="27"/>
  <c r="B52" i="28" s="1"/>
  <c r="G8" i="18"/>
  <c r="G9" i="18" s="1"/>
  <c r="G10" i="16" s="1"/>
  <c r="D43" i="37"/>
  <c r="F19" i="22"/>
  <c r="N238" i="23"/>
  <c r="F20" i="22" s="1"/>
  <c r="N15" i="22" s="1"/>
  <c r="G51" i="14"/>
  <c r="G20" i="15" s="1"/>
  <c r="F8" i="25"/>
  <c r="F10" i="25" s="1"/>
  <c r="E128" i="27" s="1"/>
  <c r="F128" i="27" s="1"/>
  <c r="G82" i="37"/>
  <c r="G39" i="21"/>
  <c r="G31" i="14"/>
  <c r="E46" i="37"/>
  <c r="H46" i="37" s="1"/>
  <c r="J46" i="37" s="1"/>
  <c r="K46" i="37" s="1"/>
  <c r="L46" i="37" s="1"/>
  <c r="E47" i="37"/>
  <c r="H47" i="37" s="1"/>
  <c r="G89" i="37" s="1"/>
  <c r="K130" i="31"/>
  <c r="K127" i="31" s="1"/>
  <c r="J127" i="31"/>
  <c r="H130" i="31"/>
  <c r="H136" i="31" s="1"/>
  <c r="L130" i="31"/>
  <c r="L136" i="31" s="1"/>
  <c r="G9" i="15"/>
  <c r="G9" i="16" s="1"/>
  <c r="D130" i="31"/>
  <c r="D127" i="31" s="1"/>
  <c r="M130" i="31"/>
  <c r="M136" i="31" s="1"/>
  <c r="F130" i="31"/>
  <c r="F136" i="31" s="1"/>
  <c r="E130" i="31"/>
  <c r="E127" i="31" s="1"/>
  <c r="J45" i="37"/>
  <c r="K45" i="37" s="1"/>
  <c r="G130" i="31"/>
  <c r="G136" i="31" s="1"/>
  <c r="I130" i="31"/>
  <c r="I127" i="31" s="1"/>
  <c r="N130" i="31"/>
  <c r="N127" i="31" s="1"/>
  <c r="I187" i="24"/>
  <c r="E140" i="27" s="1"/>
  <c r="F140" i="27" s="1"/>
  <c r="B127" i="27" s="1"/>
  <c r="J187" i="24"/>
  <c r="E48" i="37"/>
  <c r="H48" i="37" s="1"/>
  <c r="G93" i="37" s="1"/>
  <c r="O130" i="31"/>
  <c r="O127" i="31" s="1"/>
  <c r="F7" i="25"/>
  <c r="G39" i="31"/>
  <c r="G46" i="31" s="1"/>
  <c r="G22" i="31"/>
  <c r="H23" i="31"/>
  <c r="I16" i="31"/>
  <c r="I14" i="31"/>
  <c r="J13" i="31" s="1"/>
  <c r="D43" i="28"/>
  <c r="C45" i="14"/>
  <c r="C10" i="15"/>
  <c r="C13" i="15" s="1"/>
  <c r="E13" i="25"/>
  <c r="F104" i="27" s="1"/>
  <c r="E104" i="27"/>
  <c r="H40" i="31"/>
  <c r="G47" i="31"/>
  <c r="B89" i="27"/>
  <c r="C43" i="28"/>
  <c r="H15" i="31"/>
  <c r="H22" i="31" s="1"/>
  <c r="C6" i="26"/>
  <c r="E40" i="27"/>
  <c r="C39" i="27" s="1"/>
  <c r="D56" i="34"/>
  <c r="D57" i="34" s="1"/>
  <c r="D43" i="14"/>
  <c r="H38" i="31"/>
  <c r="I37" i="31" s="1"/>
  <c r="G50" i="14" l="1"/>
  <c r="N14" i="22"/>
  <c r="B114" i="34"/>
  <c r="B112" i="34" s="1"/>
  <c r="C127" i="27"/>
  <c r="B67" i="28" s="1"/>
  <c r="M27" i="37"/>
  <c r="J37" i="37"/>
  <c r="K37" i="37" s="1"/>
  <c r="L37" i="37" s="1"/>
  <c r="F93" i="37"/>
  <c r="D96" i="49"/>
  <c r="G86" i="49"/>
  <c r="H86" i="49"/>
  <c r="H47" i="49"/>
  <c r="L86" i="49"/>
  <c r="E86" i="49"/>
  <c r="H46" i="49"/>
  <c r="H53" i="49" s="1"/>
  <c r="H54" i="49" s="1"/>
  <c r="F86" i="37"/>
  <c r="J86" i="49"/>
  <c r="F20" i="50"/>
  <c r="G20" i="50" s="1"/>
  <c r="J35" i="37"/>
  <c r="K35" i="37" s="1"/>
  <c r="L35" i="37" s="1"/>
  <c r="J36" i="37"/>
  <c r="K36" i="37" s="1"/>
  <c r="L36" i="37" s="1"/>
  <c r="K86" i="49"/>
  <c r="I86" i="49"/>
  <c r="K96" i="49"/>
  <c r="C99" i="49"/>
  <c r="C101" i="49" s="1"/>
  <c r="M86" i="49"/>
  <c r="G4" i="50"/>
  <c r="G6" i="50"/>
  <c r="G5" i="50"/>
  <c r="F96" i="49"/>
  <c r="D86" i="49"/>
  <c r="O72" i="49"/>
  <c r="O83" i="49" s="1"/>
  <c r="O86" i="49" s="1"/>
  <c r="C83" i="49"/>
  <c r="C86" i="49" s="1"/>
  <c r="F54" i="49"/>
  <c r="I96" i="49"/>
  <c r="F86" i="49"/>
  <c r="F90" i="37"/>
  <c r="F7" i="50"/>
  <c r="I45" i="49"/>
  <c r="J44" i="49" s="1"/>
  <c r="J96" i="49"/>
  <c r="O94" i="49"/>
  <c r="O105" i="49" s="1"/>
  <c r="N86" i="49"/>
  <c r="H96" i="49"/>
  <c r="F16" i="50"/>
  <c r="E42" i="14"/>
  <c r="P111" i="31"/>
  <c r="P102" i="31"/>
  <c r="E102" i="27"/>
  <c r="G19" i="15"/>
  <c r="G38" i="15" s="1"/>
  <c r="F13" i="25"/>
  <c r="F9" i="25"/>
  <c r="F12" i="25" s="1"/>
  <c r="F126" i="27" s="1"/>
  <c r="H10" i="28" s="1"/>
  <c r="F127" i="31"/>
  <c r="G85" i="37"/>
  <c r="G90" i="37"/>
  <c r="K136" i="31"/>
  <c r="J47" i="37"/>
  <c r="K47" i="37" s="1"/>
  <c r="L47" i="37" s="1"/>
  <c r="D136" i="31"/>
  <c r="H127" i="31"/>
  <c r="J48" i="37"/>
  <c r="K48" i="37" s="1"/>
  <c r="L48" i="37" s="1"/>
  <c r="M127" i="31"/>
  <c r="O136" i="31"/>
  <c r="G86" i="37"/>
  <c r="L127" i="31"/>
  <c r="I136" i="31"/>
  <c r="G127" i="31"/>
  <c r="E136" i="31"/>
  <c r="G94" i="37"/>
  <c r="N136" i="31"/>
  <c r="G37" i="16"/>
  <c r="G37" i="15"/>
  <c r="B73" i="28"/>
  <c r="B117" i="27"/>
  <c r="B111" i="27"/>
  <c r="G48" i="31"/>
  <c r="H24" i="31"/>
  <c r="C8" i="26"/>
  <c r="C10" i="26" s="1"/>
  <c r="C7" i="26"/>
  <c r="I38" i="31"/>
  <c r="J37" i="31" s="1"/>
  <c r="D10" i="15"/>
  <c r="D13" i="15" s="1"/>
  <c r="D45" i="14"/>
  <c r="L45" i="37"/>
  <c r="G24" i="31"/>
  <c r="C45" i="28"/>
  <c r="E43" i="28"/>
  <c r="J16" i="31"/>
  <c r="I23" i="31"/>
  <c r="H39" i="31"/>
  <c r="E64" i="27"/>
  <c r="D6" i="26"/>
  <c r="C34" i="15"/>
  <c r="B38" i="16"/>
  <c r="C38" i="16"/>
  <c r="C14" i="15"/>
  <c r="C23" i="15" s="1"/>
  <c r="J14" i="31"/>
  <c r="K13" i="31" s="1"/>
  <c r="L34" i="37"/>
  <c r="C23" i="27"/>
  <c r="I6" i="28"/>
  <c r="C47" i="27"/>
  <c r="C40" i="27"/>
  <c r="C24" i="27"/>
  <c r="B16" i="14" s="1"/>
  <c r="B12" i="16" s="1"/>
  <c r="B39" i="16" s="1"/>
  <c r="C17" i="27"/>
  <c r="B15" i="14" s="1"/>
  <c r="C7" i="28"/>
  <c r="C45" i="27"/>
  <c r="D7" i="28" s="1"/>
  <c r="C41" i="27"/>
  <c r="H47" i="31"/>
  <c r="I40" i="31"/>
  <c r="I15" i="31"/>
  <c r="H9" i="28"/>
  <c r="B105" i="27"/>
  <c r="C105" i="27" s="1"/>
  <c r="C152" i="27" l="1"/>
  <c r="K38" i="37"/>
  <c r="G21" i="50"/>
  <c r="G22" i="50"/>
  <c r="G23" i="50"/>
  <c r="I46" i="49"/>
  <c r="I53" i="49" s="1"/>
  <c r="I54" i="49" s="1"/>
  <c r="L38" i="37"/>
  <c r="F46" i="34" s="1"/>
  <c r="F47" i="34" s="1"/>
  <c r="J38" i="37"/>
  <c r="I47" i="49"/>
  <c r="O96" i="49"/>
  <c r="G12" i="50"/>
  <c r="G13" i="50"/>
  <c r="G11" i="50"/>
  <c r="G7" i="50"/>
  <c r="G9" i="50"/>
  <c r="G10" i="50"/>
  <c r="G15" i="50"/>
  <c r="G8" i="50"/>
  <c r="G14" i="50"/>
  <c r="J45" i="49"/>
  <c r="K44" i="49" s="1"/>
  <c r="G17" i="50"/>
  <c r="G16" i="50"/>
  <c r="G18" i="50"/>
  <c r="G19" i="50"/>
  <c r="C100" i="49"/>
  <c r="D98" i="49"/>
  <c r="D99" i="49" s="1"/>
  <c r="G53" i="14"/>
  <c r="E126" i="27"/>
  <c r="B141" i="27"/>
  <c r="D73" i="28" s="1"/>
  <c r="B135" i="27"/>
  <c r="B129" i="27"/>
  <c r="C129" i="27" s="1"/>
  <c r="L49" i="37"/>
  <c r="G46" i="34" s="1"/>
  <c r="K49" i="37"/>
  <c r="J49" i="37"/>
  <c r="P127" i="31"/>
  <c r="P136" i="31"/>
  <c r="I39" i="31"/>
  <c r="I46" i="31" s="1"/>
  <c r="J15" i="31"/>
  <c r="J22" i="31" s="1"/>
  <c r="C11" i="26"/>
  <c r="C12" i="26" s="1"/>
  <c r="J40" i="31"/>
  <c r="I47" i="31"/>
  <c r="D8" i="26"/>
  <c r="D10" i="26" s="1"/>
  <c r="D7" i="26"/>
  <c r="C58" i="28"/>
  <c r="B113" i="27"/>
  <c r="B11" i="16"/>
  <c r="B13" i="16" s="1"/>
  <c r="B22" i="14"/>
  <c r="B16" i="15" s="1"/>
  <c r="B23" i="15" s="1"/>
  <c r="B25" i="15" s="1"/>
  <c r="I7" i="28"/>
  <c r="C64" i="27"/>
  <c r="C63" i="27"/>
  <c r="C69" i="27"/>
  <c r="C9" i="28"/>
  <c r="E7" i="28"/>
  <c r="J23" i="31"/>
  <c r="K16" i="31"/>
  <c r="E56" i="34"/>
  <c r="E57" i="34" s="1"/>
  <c r="E43" i="14"/>
  <c r="K14" i="31"/>
  <c r="L13" i="31" s="1"/>
  <c r="H46" i="31"/>
  <c r="D34" i="15"/>
  <c r="D38" i="16"/>
  <c r="D14" i="15"/>
  <c r="D23" i="15" s="1"/>
  <c r="I22" i="31"/>
  <c r="D58" i="28"/>
  <c r="C35" i="15"/>
  <c r="J38" i="31"/>
  <c r="K37" i="31" s="1"/>
  <c r="C73" i="28" l="1"/>
  <c r="C153" i="27"/>
  <c r="M38" i="37"/>
  <c r="J46" i="49"/>
  <c r="J53" i="49" s="1"/>
  <c r="J54" i="49" s="1"/>
  <c r="E28" i="50"/>
  <c r="D28" i="50"/>
  <c r="K45" i="49"/>
  <c r="L44" i="49" s="1"/>
  <c r="D100" i="49"/>
  <c r="D107" i="49" s="1"/>
  <c r="D108" i="49" s="1"/>
  <c r="E98" i="49"/>
  <c r="J47" i="49"/>
  <c r="C107" i="49"/>
  <c r="D101" i="49"/>
  <c r="F42" i="14"/>
  <c r="E38" i="27"/>
  <c r="D11" i="26"/>
  <c r="D12" i="26" s="1"/>
  <c r="B137" i="27"/>
  <c r="G42" i="14"/>
  <c r="G47" i="34"/>
  <c r="M49" i="37"/>
  <c r="I48" i="31"/>
  <c r="J39" i="31"/>
  <c r="J46" i="31" s="1"/>
  <c r="E36" i="27"/>
  <c r="K15" i="31"/>
  <c r="K22" i="31" s="1"/>
  <c r="J24" i="31"/>
  <c r="B34" i="16"/>
  <c r="B12" i="17" s="1"/>
  <c r="B19" i="16"/>
  <c r="E10" i="15"/>
  <c r="E13" i="15" s="1"/>
  <c r="E45" i="14"/>
  <c r="C24" i="15"/>
  <c r="C25" i="15" s="1"/>
  <c r="H48" i="31"/>
  <c r="E6" i="26"/>
  <c r="E88" i="27"/>
  <c r="D22" i="28"/>
  <c r="D35" i="15"/>
  <c r="K38" i="31"/>
  <c r="L37" i="31" s="1"/>
  <c r="I24" i="31"/>
  <c r="L14" i="31"/>
  <c r="M13" i="31" s="1"/>
  <c r="K23" i="31"/>
  <c r="L16" i="31"/>
  <c r="C22" i="28"/>
  <c r="C65" i="27"/>
  <c r="C75" i="28"/>
  <c r="E73" i="28"/>
  <c r="B29" i="15"/>
  <c r="B10" i="17"/>
  <c r="C60" i="28"/>
  <c r="E58" i="28"/>
  <c r="K40" i="31"/>
  <c r="J47" i="31"/>
  <c r="K46" i="49" l="1"/>
  <c r="K53" i="49" s="1"/>
  <c r="K54" i="49" s="1"/>
  <c r="L45" i="49"/>
  <c r="M44" i="49" s="1"/>
  <c r="C108" i="49"/>
  <c r="K47" i="49"/>
  <c r="E99" i="49"/>
  <c r="F98" i="49" s="1"/>
  <c r="B32" i="27"/>
  <c r="B46" i="27"/>
  <c r="C46" i="27" s="1"/>
  <c r="D8" i="28" s="1"/>
  <c r="D9" i="28" s="1"/>
  <c r="E60" i="27"/>
  <c r="E62" i="27" s="1"/>
  <c r="B56" i="27" s="1"/>
  <c r="J48" i="31"/>
  <c r="K24" i="31"/>
  <c r="B14" i="17"/>
  <c r="B25" i="16" s="1"/>
  <c r="L38" i="31"/>
  <c r="M37" i="31" s="1"/>
  <c r="C36" i="15"/>
  <c r="C10" i="17"/>
  <c r="C29" i="15"/>
  <c r="L23" i="31"/>
  <c r="M16" i="31"/>
  <c r="L15" i="31"/>
  <c r="L22" i="31" s="1"/>
  <c r="D24" i="15"/>
  <c r="D25" i="15" s="1"/>
  <c r="F56" i="34"/>
  <c r="F57" i="34" s="1"/>
  <c r="F43" i="14"/>
  <c r="G56" i="34"/>
  <c r="G57" i="34" s="1"/>
  <c r="G43" i="14"/>
  <c r="E8" i="26"/>
  <c r="E10" i="26" s="1"/>
  <c r="E7" i="26"/>
  <c r="L40" i="31"/>
  <c r="K47" i="31"/>
  <c r="C24" i="28"/>
  <c r="E22" i="28"/>
  <c r="M14" i="31"/>
  <c r="N13" i="31" s="1"/>
  <c r="K39" i="31"/>
  <c r="K46" i="31" s="1"/>
  <c r="I8" i="28"/>
  <c r="C88" i="27"/>
  <c r="C87" i="27"/>
  <c r="C93" i="27"/>
  <c r="E34" i="15"/>
  <c r="E38" i="16"/>
  <c r="E14" i="15"/>
  <c r="E23" i="15" s="1"/>
  <c r="C32" i="27" l="1"/>
  <c r="B8" i="28" s="1"/>
  <c r="B149" i="27"/>
  <c r="E149" i="27" s="1"/>
  <c r="E100" i="49"/>
  <c r="E107" i="49" s="1"/>
  <c r="E108" i="49" s="1"/>
  <c r="L47" i="49"/>
  <c r="L46" i="49"/>
  <c r="L53" i="49" s="1"/>
  <c r="L54" i="49" s="1"/>
  <c r="E101" i="49"/>
  <c r="F99" i="49" s="1"/>
  <c r="G98" i="49" s="1"/>
  <c r="M45" i="49"/>
  <c r="N44" i="49" s="1"/>
  <c r="B34" i="27"/>
  <c r="B35" i="27" s="1"/>
  <c r="C35" i="27" s="1"/>
  <c r="B14" i="28"/>
  <c r="B15" i="28" s="1"/>
  <c r="D14" i="28"/>
  <c r="D15" i="28" s="1"/>
  <c r="B48" i="27"/>
  <c r="C48" i="27" s="1"/>
  <c r="C58" i="14" s="1"/>
  <c r="C12" i="16" s="1"/>
  <c r="C39" i="16" s="1"/>
  <c r="B70" i="27"/>
  <c r="C70" i="27" s="1"/>
  <c r="B30" i="15"/>
  <c r="B31" i="15" s="1"/>
  <c r="B26" i="16" s="1"/>
  <c r="B27" i="16" s="1"/>
  <c r="B29" i="16" s="1"/>
  <c r="B32" i="16" s="1"/>
  <c r="L17" i="17"/>
  <c r="B18" i="17"/>
  <c r="E11" i="26"/>
  <c r="E12" i="26" s="1"/>
  <c r="D10" i="17"/>
  <c r="D29" i="15"/>
  <c r="D36" i="15"/>
  <c r="K48" i="31"/>
  <c r="L24" i="31"/>
  <c r="N16" i="31"/>
  <c r="M23" i="31"/>
  <c r="C56" i="27"/>
  <c r="B29" i="28"/>
  <c r="B58" i="27"/>
  <c r="B59" i="27" s="1"/>
  <c r="M15" i="31"/>
  <c r="M22" i="31" s="1"/>
  <c r="E136" i="27"/>
  <c r="G6" i="26"/>
  <c r="E8" i="28"/>
  <c r="E9" i="28" s="1"/>
  <c r="E10" i="28" s="1"/>
  <c r="E16" i="28" s="1"/>
  <c r="B9" i="28"/>
  <c r="M38" i="31"/>
  <c r="N37" i="31" s="1"/>
  <c r="E35" i="15"/>
  <c r="C89" i="27"/>
  <c r="C37" i="28"/>
  <c r="E112" i="27"/>
  <c r="F6" i="26"/>
  <c r="N14" i="31"/>
  <c r="O13" i="31" s="1"/>
  <c r="G45" i="14"/>
  <c r="G10" i="15"/>
  <c r="G13" i="15" s="1"/>
  <c r="D37" i="28"/>
  <c r="L47" i="31"/>
  <c r="M40" i="31"/>
  <c r="F45" i="14"/>
  <c r="F10" i="15"/>
  <c r="F13" i="15" s="1"/>
  <c r="L39" i="31"/>
  <c r="L46" i="31" s="1"/>
  <c r="B150" i="27" l="1"/>
  <c r="E150" i="27" s="1"/>
  <c r="M47" i="49"/>
  <c r="F100" i="49"/>
  <c r="F107" i="49" s="1"/>
  <c r="F108" i="49" s="1"/>
  <c r="M46" i="49"/>
  <c r="M53" i="49" s="1"/>
  <c r="M54" i="49" s="1"/>
  <c r="F101" i="49"/>
  <c r="G99" i="49" s="1"/>
  <c r="H98" i="49" s="1"/>
  <c r="N45" i="49"/>
  <c r="C34" i="27"/>
  <c r="C57" i="14" s="1"/>
  <c r="C11" i="16" s="1"/>
  <c r="C13" i="16" s="1"/>
  <c r="C19" i="16" s="1"/>
  <c r="E14" i="28"/>
  <c r="E15" i="28" s="1"/>
  <c r="M24" i="31"/>
  <c r="C28" i="15"/>
  <c r="E84" i="27"/>
  <c r="E86" i="27" s="1"/>
  <c r="L48" i="31"/>
  <c r="N15" i="31"/>
  <c r="N38" i="31"/>
  <c r="O37" i="31" s="1"/>
  <c r="D28" i="28"/>
  <c r="C59" i="27"/>
  <c r="G34" i="15"/>
  <c r="G38" i="16"/>
  <c r="G14" i="15"/>
  <c r="G23" i="15" s="1"/>
  <c r="I9" i="28"/>
  <c r="C112" i="27"/>
  <c r="C117" i="27"/>
  <c r="C111" i="27"/>
  <c r="M39" i="31"/>
  <c r="M46" i="31" s="1"/>
  <c r="B23" i="28"/>
  <c r="C58" i="27"/>
  <c r="D57" i="14" s="1"/>
  <c r="D11" i="16" s="1"/>
  <c r="F34" i="15"/>
  <c r="F38" i="16"/>
  <c r="F14" i="15"/>
  <c r="F23" i="15" s="1"/>
  <c r="F8" i="26"/>
  <c r="F10" i="26" s="1"/>
  <c r="F7" i="26"/>
  <c r="C39" i="28"/>
  <c r="E37" i="28"/>
  <c r="N23" i="31"/>
  <c r="N24" i="31" s="1"/>
  <c r="O16" i="31"/>
  <c r="G8" i="26"/>
  <c r="G10" i="26" s="1"/>
  <c r="G7" i="26"/>
  <c r="E29" i="28"/>
  <c r="B30" i="28"/>
  <c r="P22" i="31"/>
  <c r="M47" i="31"/>
  <c r="N40" i="31"/>
  <c r="O14" i="31"/>
  <c r="P14" i="31" s="1"/>
  <c r="I10" i="28"/>
  <c r="C136" i="27"/>
  <c r="C141" i="27"/>
  <c r="C135" i="27"/>
  <c r="D23" i="28"/>
  <c r="D24" i="28" s="1"/>
  <c r="E24" i="15"/>
  <c r="E25" i="15" s="1"/>
  <c r="N47" i="49" l="1"/>
  <c r="O47" i="49" s="1"/>
  <c r="G100" i="49"/>
  <c r="G107" i="49" s="1"/>
  <c r="N46" i="49"/>
  <c r="N53" i="49" s="1"/>
  <c r="G101" i="49"/>
  <c r="H99" i="49" s="1"/>
  <c r="C34" i="16"/>
  <c r="C12" i="17" s="1"/>
  <c r="C14" i="17" s="1"/>
  <c r="L18" i="17" s="1"/>
  <c r="M18" i="17" s="1"/>
  <c r="B80" i="27"/>
  <c r="B94" i="27"/>
  <c r="C94" i="27" s="1"/>
  <c r="G11" i="26"/>
  <c r="G12" i="26" s="1"/>
  <c r="O23" i="31"/>
  <c r="P16" i="31"/>
  <c r="F11" i="26"/>
  <c r="F12" i="26" s="1"/>
  <c r="C52" i="28"/>
  <c r="C113" i="27"/>
  <c r="N39" i="31"/>
  <c r="N46" i="31" s="1"/>
  <c r="E10" i="17"/>
  <c r="E29" i="15"/>
  <c r="E36" i="15"/>
  <c r="C137" i="27"/>
  <c r="C67" i="28"/>
  <c r="N47" i="31"/>
  <c r="O40" i="31"/>
  <c r="D52" i="28"/>
  <c r="G35" i="15"/>
  <c r="D30" i="28"/>
  <c r="E28" i="28"/>
  <c r="E30" i="28" s="1"/>
  <c r="O38" i="31"/>
  <c r="P38" i="31" s="1"/>
  <c r="C63" i="31" s="1"/>
  <c r="D67" i="28"/>
  <c r="F35" i="15"/>
  <c r="E23" i="28"/>
  <c r="E24" i="28" s="1"/>
  <c r="E25" i="28" s="1"/>
  <c r="E31" i="28" s="1"/>
  <c r="B24" i="28"/>
  <c r="O15" i="31"/>
  <c r="P15" i="31" s="1"/>
  <c r="M48" i="31"/>
  <c r="B44" i="28" l="1"/>
  <c r="B151" i="27"/>
  <c r="E151" i="27" s="1"/>
  <c r="I98" i="49"/>
  <c r="H100" i="49"/>
  <c r="H107" i="49" s="1"/>
  <c r="H108" i="49" s="1"/>
  <c r="O46" i="49"/>
  <c r="G108" i="49"/>
  <c r="H101" i="49"/>
  <c r="N54" i="49"/>
  <c r="O53" i="49"/>
  <c r="O54" i="49" s="1"/>
  <c r="C25" i="16"/>
  <c r="C30" i="15"/>
  <c r="C31" i="15" s="1"/>
  <c r="D28" i="15" s="1"/>
  <c r="C18" i="17"/>
  <c r="E134" i="27"/>
  <c r="B142" i="27" s="1"/>
  <c r="D44" i="28"/>
  <c r="D45" i="28" s="1"/>
  <c r="D62" i="31"/>
  <c r="D63" i="31" s="1"/>
  <c r="E62" i="31" s="1"/>
  <c r="B71" i="27"/>
  <c r="C80" i="27"/>
  <c r="B38" i="28" s="1"/>
  <c r="B82" i="27"/>
  <c r="B83" i="27" s="1"/>
  <c r="C83" i="27" s="1"/>
  <c r="E132" i="27"/>
  <c r="B45" i="28"/>
  <c r="C54" i="28"/>
  <c r="E52" i="28"/>
  <c r="D38" i="28"/>
  <c r="D39" i="28" s="1"/>
  <c r="C69" i="28"/>
  <c r="E67" i="28"/>
  <c r="E108" i="27"/>
  <c r="E110" i="27"/>
  <c r="G24" i="15"/>
  <c r="G25" i="15" s="1"/>
  <c r="N48" i="31"/>
  <c r="F24" i="15"/>
  <c r="F25" i="15" s="1"/>
  <c r="O39" i="31"/>
  <c r="O47" i="31"/>
  <c r="P47" i="31" s="1"/>
  <c r="P40" i="31"/>
  <c r="O24" i="31"/>
  <c r="P23" i="31"/>
  <c r="P24" i="31" s="1"/>
  <c r="I99" i="49" l="1"/>
  <c r="C26" i="16"/>
  <c r="C27" i="16" s="1"/>
  <c r="C29" i="16" s="1"/>
  <c r="C32" i="16" s="1"/>
  <c r="B128" i="27"/>
  <c r="D65" i="31"/>
  <c r="E65" i="31" s="1"/>
  <c r="E44" i="28"/>
  <c r="E45" i="28" s="1"/>
  <c r="C82" i="27"/>
  <c r="E57" i="14" s="1"/>
  <c r="E11" i="16" s="1"/>
  <c r="B104" i="27"/>
  <c r="B118" i="27"/>
  <c r="C71" i="27"/>
  <c r="C72" i="27" s="1"/>
  <c r="D58" i="14" s="1"/>
  <c r="D12" i="16" s="1"/>
  <c r="B72" i="27"/>
  <c r="D74" i="28"/>
  <c r="D75" i="28" s="1"/>
  <c r="C142" i="27"/>
  <c r="E38" i="28"/>
  <c r="E39" i="28" s="1"/>
  <c r="E40" i="28" s="1"/>
  <c r="E46" i="28" s="1"/>
  <c r="B39" i="28"/>
  <c r="D64" i="31"/>
  <c r="G36" i="15"/>
  <c r="G10" i="17"/>
  <c r="G29" i="15"/>
  <c r="F29" i="15"/>
  <c r="F36" i="15"/>
  <c r="F10" i="17"/>
  <c r="O46" i="31"/>
  <c r="P39" i="31"/>
  <c r="B152" i="27" l="1"/>
  <c r="E152" i="27" s="1"/>
  <c r="B74" i="28"/>
  <c r="B153" i="27"/>
  <c r="E153" i="27" s="1"/>
  <c r="J98" i="49"/>
  <c r="I100" i="49"/>
  <c r="I101" i="49"/>
  <c r="B130" i="27"/>
  <c r="B131" i="27" s="1"/>
  <c r="C131" i="27" s="1"/>
  <c r="C128" i="27"/>
  <c r="B68" i="28" s="1"/>
  <c r="D72" i="31"/>
  <c r="E63" i="31"/>
  <c r="F62" i="31" s="1"/>
  <c r="F63" i="31" s="1"/>
  <c r="G62" i="31" s="1"/>
  <c r="D39" i="16"/>
  <c r="D13" i="16"/>
  <c r="O48" i="31"/>
  <c r="P46" i="31"/>
  <c r="P48" i="31" s="1"/>
  <c r="D59" i="28"/>
  <c r="D60" i="28" s="1"/>
  <c r="C118" i="27"/>
  <c r="C104" i="27"/>
  <c r="B59" i="28"/>
  <c r="B106" i="27"/>
  <c r="B107" i="27" s="1"/>
  <c r="C107" i="27" s="1"/>
  <c r="D71" i="31"/>
  <c r="D68" i="28"/>
  <c r="D69" i="28" s="1"/>
  <c r="E74" i="28"/>
  <c r="E75" i="28" s="1"/>
  <c r="B75" i="28"/>
  <c r="E72" i="31"/>
  <c r="J99" i="49" l="1"/>
  <c r="K98" i="49" s="1"/>
  <c r="I107" i="49"/>
  <c r="C130" i="27"/>
  <c r="G57" i="14" s="1"/>
  <c r="G11" i="16" s="1"/>
  <c r="F65" i="31"/>
  <c r="G65" i="31" s="1"/>
  <c r="E64" i="31"/>
  <c r="E71" i="31" s="1"/>
  <c r="E73" i="31" s="1"/>
  <c r="D34" i="16"/>
  <c r="D12" i="17" s="1"/>
  <c r="D14" i="17" s="1"/>
  <c r="D19" i="16"/>
  <c r="B53" i="28"/>
  <c r="C106" i="27"/>
  <c r="F57" i="14" s="1"/>
  <c r="F11" i="16" s="1"/>
  <c r="F64" i="31"/>
  <c r="E68" i="28"/>
  <c r="E69" i="28" s="1"/>
  <c r="E70" i="28" s="1"/>
  <c r="E76" i="28" s="1"/>
  <c r="B69" i="28"/>
  <c r="D53" i="28"/>
  <c r="D54" i="28" s="1"/>
  <c r="D73" i="31"/>
  <c r="E59" i="28"/>
  <c r="E60" i="28" s="1"/>
  <c r="B60" i="28"/>
  <c r="J100" i="49" l="1"/>
  <c r="J107" i="49" s="1"/>
  <c r="J108" i="49" s="1"/>
  <c r="I108" i="49"/>
  <c r="J101" i="49"/>
  <c r="K99" i="49" s="1"/>
  <c r="L98" i="49" s="1"/>
  <c r="G63" i="31"/>
  <c r="H62" i="31" s="1"/>
  <c r="H63" i="31" s="1"/>
  <c r="I62" i="31" s="1"/>
  <c r="F72" i="31"/>
  <c r="D30" i="15"/>
  <c r="D31" i="15" s="1"/>
  <c r="D25" i="16"/>
  <c r="D18" i="17"/>
  <c r="L19" i="17"/>
  <c r="M19" i="17" s="1"/>
  <c r="E53" i="28"/>
  <c r="E54" i="28" s="1"/>
  <c r="E55" i="28" s="1"/>
  <c r="E61" i="28" s="1"/>
  <c r="B54" i="28"/>
  <c r="G72" i="31"/>
  <c r="F71" i="31"/>
  <c r="K101" i="49" l="1"/>
  <c r="L99" i="49" s="1"/>
  <c r="K100" i="49"/>
  <c r="K107" i="49" s="1"/>
  <c r="G64" i="31"/>
  <c r="G71" i="31" s="1"/>
  <c r="G73" i="31" s="1"/>
  <c r="H65" i="31"/>
  <c r="I63" i="31" s="1"/>
  <c r="J62" i="31" s="1"/>
  <c r="E28" i="15"/>
  <c r="D26" i="16"/>
  <c r="D27" i="16" s="1"/>
  <c r="D29" i="16" s="1"/>
  <c r="D32" i="16" s="1"/>
  <c r="F73" i="31"/>
  <c r="H64" i="31"/>
  <c r="M98" i="49" l="1"/>
  <c r="L100" i="49"/>
  <c r="L107" i="49" s="1"/>
  <c r="L108" i="49" s="1"/>
  <c r="L101" i="49"/>
  <c r="K108" i="49"/>
  <c r="H72" i="31"/>
  <c r="I65" i="31"/>
  <c r="J63" i="31" s="1"/>
  <c r="K62" i="31" s="1"/>
  <c r="I64" i="31"/>
  <c r="I71" i="31" s="1"/>
  <c r="H71" i="31"/>
  <c r="M99" i="49" l="1"/>
  <c r="N98" i="49" s="1"/>
  <c r="J65" i="31"/>
  <c r="K63" i="31" s="1"/>
  <c r="L62" i="31" s="1"/>
  <c r="I72" i="31"/>
  <c r="I73" i="31" s="1"/>
  <c r="J64" i="31"/>
  <c r="H73" i="31"/>
  <c r="M100" i="49" l="1"/>
  <c r="M107" i="49" s="1"/>
  <c r="M108" i="49" s="1"/>
  <c r="M101" i="49"/>
  <c r="N99" i="49" s="1"/>
  <c r="N101" i="49" s="1"/>
  <c r="O101" i="49" s="1"/>
  <c r="J72" i="31"/>
  <c r="K65" i="31"/>
  <c r="L65" i="31" s="1"/>
  <c r="J71" i="31"/>
  <c r="K64" i="31"/>
  <c r="K71" i="31" s="1"/>
  <c r="N100" i="49" l="1"/>
  <c r="K72" i="31"/>
  <c r="K73" i="31" s="1"/>
  <c r="L63" i="31"/>
  <c r="M62" i="31" s="1"/>
  <c r="M63" i="31" s="1"/>
  <c r="N62" i="31" s="1"/>
  <c r="J73" i="31"/>
  <c r="L72" i="31"/>
  <c r="N107" i="49" l="1"/>
  <c r="O100" i="49"/>
  <c r="M65" i="31"/>
  <c r="N65" i="31" s="1"/>
  <c r="L64" i="31"/>
  <c r="L71" i="31" s="1"/>
  <c r="L73" i="31" s="1"/>
  <c r="M64" i="31"/>
  <c r="M71" i="31" s="1"/>
  <c r="N108" i="49" l="1"/>
  <c r="O107" i="49"/>
  <c r="O108" i="49" s="1"/>
  <c r="N63" i="31"/>
  <c r="O62" i="31" s="1"/>
  <c r="O63" i="31" s="1"/>
  <c r="P63" i="31" s="1"/>
  <c r="C89" i="31" s="1"/>
  <c r="M72" i="31"/>
  <c r="M73" i="31" s="1"/>
  <c r="N72" i="31"/>
  <c r="N64" i="31" l="1"/>
  <c r="N71" i="31" s="1"/>
  <c r="N73" i="31" s="1"/>
  <c r="O65" i="31"/>
  <c r="P65" i="31" s="1"/>
  <c r="D88" i="31"/>
  <c r="D89" i="31" s="1"/>
  <c r="E88" i="31" s="1"/>
  <c r="B95" i="27"/>
  <c r="O64" i="31"/>
  <c r="O72" i="31" l="1"/>
  <c r="P72" i="31" s="1"/>
  <c r="D91" i="31"/>
  <c r="E91" i="31" s="1"/>
  <c r="C95" i="27"/>
  <c r="C96" i="27" s="1"/>
  <c r="E58" i="14" s="1"/>
  <c r="E12" i="16" s="1"/>
  <c r="B96" i="27"/>
  <c r="D90" i="31"/>
  <c r="O71" i="31"/>
  <c r="P64" i="31"/>
  <c r="D98" i="31" l="1"/>
  <c r="E89" i="31"/>
  <c r="F88" i="31" s="1"/>
  <c r="F91" i="31" s="1"/>
  <c r="E39" i="16"/>
  <c r="E13" i="16"/>
  <c r="O73" i="31"/>
  <c r="P71" i="31"/>
  <c r="P73" i="31" s="1"/>
  <c r="E98" i="31"/>
  <c r="D97" i="31"/>
  <c r="F89" i="31" l="1"/>
  <c r="G88" i="31" s="1"/>
  <c r="G89" i="31" s="1"/>
  <c r="H88" i="31" s="1"/>
  <c r="E90" i="31"/>
  <c r="E97" i="31" s="1"/>
  <c r="E99" i="31" s="1"/>
  <c r="E34" i="16"/>
  <c r="E12" i="17" s="1"/>
  <c r="E14" i="17" s="1"/>
  <c r="E19" i="16"/>
  <c r="D99" i="31"/>
  <c r="F98" i="31"/>
  <c r="G91" i="31" l="1"/>
  <c r="G98" i="31" s="1"/>
  <c r="F90" i="31"/>
  <c r="F97" i="31" s="1"/>
  <c r="F99" i="31" s="1"/>
  <c r="L20" i="17"/>
  <c r="M20" i="17" s="1"/>
  <c r="E30" i="15"/>
  <c r="E31" i="15" s="1"/>
  <c r="E18" i="17"/>
  <c r="E25" i="16"/>
  <c r="G90" i="31"/>
  <c r="H89" i="31" l="1"/>
  <c r="I88" i="31" s="1"/>
  <c r="H91" i="31"/>
  <c r="E26" i="16"/>
  <c r="E27" i="16" s="1"/>
  <c r="E29" i="16" s="1"/>
  <c r="E32" i="16" s="1"/>
  <c r="F28" i="15"/>
  <c r="G97" i="31"/>
  <c r="I91" i="31" l="1"/>
  <c r="I98" i="31" s="1"/>
  <c r="H90" i="31"/>
  <c r="H97" i="31" s="1"/>
  <c r="I89" i="31"/>
  <c r="J88" i="31" s="1"/>
  <c r="H98" i="31"/>
  <c r="G99" i="31"/>
  <c r="H99" i="31" l="1"/>
  <c r="J91" i="31"/>
  <c r="J98" i="31" s="1"/>
  <c r="J89" i="31"/>
  <c r="K88" i="31" s="1"/>
  <c r="I90" i="31"/>
  <c r="I97" i="31" s="1"/>
  <c r="I99" i="31" s="1"/>
  <c r="K89" i="31" l="1"/>
  <c r="L88" i="31" s="1"/>
  <c r="K91" i="31"/>
  <c r="K98" i="31" s="1"/>
  <c r="J90" i="31"/>
  <c r="J97" i="31" s="1"/>
  <c r="K90" i="31" l="1"/>
  <c r="K97" i="31" s="1"/>
  <c r="K99" i="31" s="1"/>
  <c r="L89" i="31"/>
  <c r="M88" i="31" s="1"/>
  <c r="L91" i="31"/>
  <c r="L98" i="31" s="1"/>
  <c r="J99" i="31"/>
  <c r="M89" i="31" l="1"/>
  <c r="N88" i="31" s="1"/>
  <c r="M91" i="31"/>
  <c r="L90" i="31"/>
  <c r="L97" i="31" s="1"/>
  <c r="L99" i="31" s="1"/>
  <c r="N89" i="31" l="1"/>
  <c r="O88" i="31" s="1"/>
  <c r="M90" i="31"/>
  <c r="M97" i="31" s="1"/>
  <c r="N91" i="31"/>
  <c r="M98" i="31"/>
  <c r="O89" i="31" l="1"/>
  <c r="P89" i="31" s="1"/>
  <c r="C114" i="31" s="1"/>
  <c r="D113" i="31" s="1"/>
  <c r="D114" i="31" s="1"/>
  <c r="E113" i="31" s="1"/>
  <c r="M99" i="31"/>
  <c r="N90" i="31"/>
  <c r="N97" i="31" s="1"/>
  <c r="N98" i="31"/>
  <c r="O91" i="31"/>
  <c r="P91" i="31" s="1"/>
  <c r="N99" i="31" l="1"/>
  <c r="O90" i="31"/>
  <c r="P90" i="31" s="1"/>
  <c r="B119" i="27"/>
  <c r="C119" i="27" s="1"/>
  <c r="C120" i="27" s="1"/>
  <c r="F58" i="14" s="1"/>
  <c r="F12" i="16" s="1"/>
  <c r="O98" i="31"/>
  <c r="P98" i="31" s="1"/>
  <c r="D116" i="31"/>
  <c r="E116" i="31" s="1"/>
  <c r="D115" i="31"/>
  <c r="O97" i="31" l="1"/>
  <c r="P97" i="31" s="1"/>
  <c r="P99" i="31" s="1"/>
  <c r="B120" i="27"/>
  <c r="E114" i="31"/>
  <c r="F113" i="31" s="1"/>
  <c r="F114" i="31" s="1"/>
  <c r="G113" i="31" s="1"/>
  <c r="D123" i="31"/>
  <c r="F39" i="16"/>
  <c r="F13" i="16"/>
  <c r="D122" i="31"/>
  <c r="E123" i="31"/>
  <c r="O99" i="31" l="1"/>
  <c r="E115" i="31"/>
  <c r="E122" i="31" s="1"/>
  <c r="E124" i="31" s="1"/>
  <c r="F116" i="31"/>
  <c r="G114" i="31" s="1"/>
  <c r="H113" i="31" s="1"/>
  <c r="F34" i="16"/>
  <c r="F12" i="17" s="1"/>
  <c r="F14" i="17" s="1"/>
  <c r="F19" i="16"/>
  <c r="F115" i="31"/>
  <c r="D124" i="31"/>
  <c r="F123" i="31" l="1"/>
  <c r="G116" i="31"/>
  <c r="G123" i="31" s="1"/>
  <c r="L21" i="17"/>
  <c r="M21" i="17" s="1"/>
  <c r="F18" i="17"/>
  <c r="F30" i="15"/>
  <c r="F31" i="15" s="1"/>
  <c r="F25" i="16"/>
  <c r="F122" i="31"/>
  <c r="G115" i="31"/>
  <c r="G122" i="31" s="1"/>
  <c r="H114" i="31" l="1"/>
  <c r="I113" i="31" s="1"/>
  <c r="H116" i="31"/>
  <c r="F26" i="16"/>
  <c r="F27" i="16" s="1"/>
  <c r="F29" i="16" s="1"/>
  <c r="F32" i="16" s="1"/>
  <c r="G28" i="15"/>
  <c r="G124" i="31"/>
  <c r="F124" i="31"/>
  <c r="H115" i="31" l="1"/>
  <c r="H122" i="31" s="1"/>
  <c r="I114" i="31"/>
  <c r="J113" i="31" s="1"/>
  <c r="H123" i="31"/>
  <c r="I116" i="31"/>
  <c r="I115" i="31" l="1"/>
  <c r="I122" i="31" s="1"/>
  <c r="J114" i="31"/>
  <c r="K113" i="31" s="1"/>
  <c r="H124" i="31"/>
  <c r="J116" i="31"/>
  <c r="I123" i="31"/>
  <c r="J115" i="31" l="1"/>
  <c r="J122" i="31" s="1"/>
  <c r="K116" i="31"/>
  <c r="K123" i="31" s="1"/>
  <c r="K114" i="31"/>
  <c r="L113" i="31" s="1"/>
  <c r="J123" i="31"/>
  <c r="I124" i="31"/>
  <c r="J124" i="31" l="1"/>
  <c r="L114" i="31"/>
  <c r="M113" i="31" s="1"/>
  <c r="K115" i="31"/>
  <c r="K122" i="31" s="1"/>
  <c r="L116" i="31"/>
  <c r="L115" i="31" l="1"/>
  <c r="L122" i="31" s="1"/>
  <c r="M114" i="31"/>
  <c r="N113" i="31" s="1"/>
  <c r="L123" i="31"/>
  <c r="M116" i="31"/>
  <c r="M123" i="31" s="1"/>
  <c r="K124" i="31"/>
  <c r="M115" i="31" l="1"/>
  <c r="M122" i="31" s="1"/>
  <c r="M124" i="31" s="1"/>
  <c r="L124" i="31"/>
  <c r="N114" i="31"/>
  <c r="O113" i="31" s="1"/>
  <c r="N116" i="31"/>
  <c r="O114" i="31" l="1"/>
  <c r="P114" i="31" s="1"/>
  <c r="C139" i="31" s="1"/>
  <c r="D138" i="31" s="1"/>
  <c r="D139" i="31" s="1"/>
  <c r="E138" i="31" s="1"/>
  <c r="N115" i="31"/>
  <c r="N122" i="31" s="1"/>
  <c r="O116" i="31"/>
  <c r="P116" i="31" s="1"/>
  <c r="N123" i="31"/>
  <c r="O115" i="31" l="1"/>
  <c r="O122" i="31" s="1"/>
  <c r="N124" i="31"/>
  <c r="O123" i="31"/>
  <c r="P123" i="31" s="1"/>
  <c r="B143" i="27"/>
  <c r="C143" i="27" s="1"/>
  <c r="C144" i="27" s="1"/>
  <c r="G58" i="14" s="1"/>
  <c r="G12" i="16" s="1"/>
  <c r="D141" i="31"/>
  <c r="E139" i="31" s="1"/>
  <c r="F138" i="31" s="1"/>
  <c r="D140" i="31"/>
  <c r="D147" i="31" s="1"/>
  <c r="P115" i="31" l="1"/>
  <c r="B144" i="27"/>
  <c r="G39" i="16"/>
  <c r="G13" i="16"/>
  <c r="D148" i="31"/>
  <c r="D150" i="31" s="1"/>
  <c r="E141" i="31"/>
  <c r="E148" i="31" s="1"/>
  <c r="O124" i="31"/>
  <c r="P122" i="31"/>
  <c r="P124" i="31" s="1"/>
  <c r="E140" i="31"/>
  <c r="F139" i="31" l="1"/>
  <c r="G138" i="31" s="1"/>
  <c r="F141" i="31"/>
  <c r="G34" i="16"/>
  <c r="G12" i="17" s="1"/>
  <c r="G14" i="17" s="1"/>
  <c r="G19" i="16"/>
  <c r="E147" i="31"/>
  <c r="G141" i="31" l="1"/>
  <c r="G148" i="31" s="1"/>
  <c r="F148" i="31"/>
  <c r="F140" i="31"/>
  <c r="F147" i="31" s="1"/>
  <c r="G139" i="31"/>
  <c r="H138" i="31" s="1"/>
  <c r="L22" i="17"/>
  <c r="L23" i="17" s="1"/>
  <c r="G25" i="16"/>
  <c r="G30" i="15"/>
  <c r="G31" i="15" s="1"/>
  <c r="G26" i="16" s="1"/>
  <c r="E150" i="31"/>
  <c r="L24" i="17" l="1"/>
  <c r="G16" i="17" s="1"/>
  <c r="F150" i="31"/>
  <c r="H141" i="31"/>
  <c r="H148" i="31" s="1"/>
  <c r="H139" i="31"/>
  <c r="I138" i="31" s="1"/>
  <c r="G140" i="31"/>
  <c r="G147" i="31" s="1"/>
  <c r="G27" i="16"/>
  <c r="G29" i="16" s="1"/>
  <c r="G32" i="16" s="1"/>
  <c r="M22" i="17"/>
  <c r="I141" i="31" l="1"/>
  <c r="I148" i="31" s="1"/>
  <c r="H140" i="31"/>
  <c r="H147" i="31" s="1"/>
  <c r="H150" i="31" s="1"/>
  <c r="I139" i="31"/>
  <c r="J138" i="31" s="1"/>
  <c r="G150" i="31"/>
  <c r="G18" i="17" l="1"/>
  <c r="J139" i="31"/>
  <c r="K138" i="31" s="1"/>
  <c r="J141" i="31"/>
  <c r="J148" i="31" s="1"/>
  <c r="I140" i="31"/>
  <c r="I147" i="31" s="1"/>
  <c r="I150" i="31" s="1"/>
  <c r="B23" i="17" l="1"/>
  <c r="B21" i="17"/>
  <c r="B9" i="47" s="1"/>
  <c r="D12" i="47" s="1"/>
  <c r="B19" i="17"/>
  <c r="K139" i="31"/>
  <c r="L138" i="31" s="1"/>
  <c r="J140" i="31"/>
  <c r="J147" i="31" s="1"/>
  <c r="K141" i="31"/>
  <c r="B8" i="48" l="1"/>
  <c r="D12" i="48" s="1"/>
  <c r="B9" i="46"/>
  <c r="D12" i="46" s="1"/>
  <c r="K140" i="31"/>
  <c r="K147" i="31" s="1"/>
  <c r="L141" i="31"/>
  <c r="L148" i="31" s="1"/>
  <c r="L139" i="31"/>
  <c r="M138" i="31" s="1"/>
  <c r="K148" i="31"/>
  <c r="J150" i="31"/>
  <c r="M141" i="31" l="1"/>
  <c r="M148" i="31" s="1"/>
  <c r="K150" i="31"/>
  <c r="L140" i="31"/>
  <c r="L147" i="31" s="1"/>
  <c r="L150" i="31" s="1"/>
  <c r="M139" i="31"/>
  <c r="N138" i="31" s="1"/>
  <c r="N139" i="31" l="1"/>
  <c r="O138" i="31" s="1"/>
  <c r="N141" i="31"/>
  <c r="M140" i="31"/>
  <c r="M147" i="31" s="1"/>
  <c r="M150" i="31" s="1"/>
  <c r="N140" i="31" l="1"/>
  <c r="N147" i="31" s="1"/>
  <c r="O139" i="31"/>
  <c r="P139" i="31" s="1"/>
  <c r="O141" i="31"/>
  <c r="O148" i="31" s="1"/>
  <c r="N148" i="31"/>
  <c r="O140" i="31" l="1"/>
  <c r="P140" i="31" s="1"/>
  <c r="N150" i="31"/>
  <c r="P148" i="31"/>
  <c r="P141" i="31"/>
  <c r="O147" i="31" l="1"/>
  <c r="O150" i="31" s="1"/>
  <c r="P147" i="31" l="1"/>
  <c r="P150" i="31" s="1"/>
  <c r="E42" i="50" l="1"/>
  <c r="G42" i="50"/>
  <c r="F42" i="50"/>
  <c r="D42"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Russell Eutsler</author>
  </authors>
  <commentList>
    <comment ref="A2" authorId="0" shapeId="0" xr:uid="{D2DA9D1B-3E7D-2A43-AABD-EA4C33847290}">
      <text>
        <r>
          <rPr>
            <b/>
            <sz val="8"/>
            <color rgb="FF000000"/>
            <rFont val="Tahoma"/>
            <family val="2"/>
          </rPr>
          <t>Russell Eutsler:</t>
        </r>
        <r>
          <rPr>
            <sz val="8"/>
            <color rgb="FF000000"/>
            <rFont val="Tahoma"/>
            <family val="2"/>
          </rPr>
          <t xml:space="preserve">
</t>
        </r>
        <r>
          <rPr>
            <sz val="8"/>
            <color rgb="FF000000"/>
            <rFont val="Tahoma"/>
            <family val="2"/>
          </rPr>
          <t>Make sure you right click in the Pivot Table and go to "Field Options" and select "Count"</t>
        </r>
      </text>
    </comment>
    <comment ref="I3" authorId="0" shapeId="0" xr:uid="{EEC2F409-2F29-BB4B-9766-138BD6AEA4F9}">
      <text>
        <r>
          <rPr>
            <b/>
            <sz val="8"/>
            <color indexed="81"/>
            <rFont val="Tahoma"/>
            <family val="2"/>
          </rPr>
          <t>Russell Eutsler:</t>
        </r>
        <r>
          <rPr>
            <sz val="8"/>
            <color indexed="81"/>
            <rFont val="Tahoma"/>
            <family val="2"/>
          </rPr>
          <t xml:space="preserve">
Paste data that you wish to analyze from the pivot table to somewhere else in the spreadsheet, and reference the pasted data.</t>
        </r>
      </text>
    </comment>
    <comment ref="F12" authorId="0" shapeId="0" xr:uid="{A83349D3-6135-BD45-B86C-50C74C96DB16}">
      <text>
        <r>
          <rPr>
            <b/>
            <sz val="8"/>
            <color indexed="81"/>
            <rFont val="Tahoma"/>
            <family val="2"/>
          </rPr>
          <t>Russell Eutsler:</t>
        </r>
        <r>
          <rPr>
            <sz val="8"/>
            <color indexed="81"/>
            <rFont val="Tahoma"/>
            <family val="2"/>
          </rPr>
          <t xml:space="preserve">
This is the total number of surveys collected.</t>
        </r>
      </text>
    </comment>
    <comment ref="F13" authorId="0" shapeId="0" xr:uid="{3EF2BBA6-7609-EC47-AD29-00DB84AD8EF8}">
      <text>
        <r>
          <rPr>
            <b/>
            <sz val="8"/>
            <color indexed="81"/>
            <rFont val="Tahoma"/>
            <family val="2"/>
          </rPr>
          <t>Russell Eutsler:</t>
        </r>
        <r>
          <rPr>
            <sz val="8"/>
            <color indexed="81"/>
            <rFont val="Tahoma"/>
            <family val="2"/>
          </rPr>
          <t xml:space="preserve">
This is the total size of your segment.</t>
        </r>
      </text>
    </comment>
    <comment ref="A15" authorId="0" shapeId="0" xr:uid="{CABF5889-19B2-214F-A29B-C7D846E8CD51}">
      <text>
        <r>
          <rPr>
            <b/>
            <sz val="8"/>
            <color indexed="81"/>
            <rFont val="Tahoma"/>
            <family val="2"/>
          </rPr>
          <t>Russell Eutsler:</t>
        </r>
        <r>
          <rPr>
            <sz val="8"/>
            <color indexed="81"/>
            <rFont val="Tahoma"/>
            <family val="2"/>
          </rPr>
          <t xml:space="preserve">
For price ranges, use the midpoint of the price range for a given response (ex. "$1.00-1.99" would be $1.50</t>
        </r>
      </text>
    </comment>
    <comment ref="B15" authorId="0" shapeId="0" xr:uid="{647EA186-43FD-4E4F-BC10-020309D11760}">
      <text>
        <r>
          <rPr>
            <b/>
            <sz val="8"/>
            <color indexed="81"/>
            <rFont val="Tahoma"/>
            <family val="2"/>
          </rPr>
          <t>Russell Eutsler:</t>
        </r>
        <r>
          <rPr>
            <sz val="8"/>
            <color indexed="81"/>
            <rFont val="Tahoma"/>
            <family val="2"/>
          </rPr>
          <t xml:space="preserve">
Here you adjust for the percentage of DB by dividing the total of DB into your sample size</t>
        </r>
      </text>
    </comment>
    <comment ref="C15" authorId="0" shapeId="0" xr:uid="{028350B0-8D7B-DB41-BA48-5AFE99E823E0}">
      <text>
        <r>
          <rPr>
            <b/>
            <sz val="8"/>
            <color indexed="81"/>
            <rFont val="Tahoma"/>
            <family val="2"/>
          </rPr>
          <t>Russell Eutsler:</t>
        </r>
        <r>
          <rPr>
            <sz val="8"/>
            <color indexed="81"/>
            <rFont val="Tahoma"/>
            <family val="2"/>
          </rPr>
          <t xml:space="preserve">
Here you adjust for the percentage of  PB by dividing the total of PB into your sample size</t>
        </r>
      </text>
    </comment>
    <comment ref="D15" authorId="0" shapeId="0" xr:uid="{0EA63D4F-BD26-CF40-B8E5-27AC99BAB1D2}">
      <text>
        <r>
          <rPr>
            <b/>
            <sz val="8"/>
            <color indexed="81"/>
            <rFont val="Tahoma"/>
            <family val="2"/>
          </rPr>
          <t>Russell Eutsler:</t>
        </r>
        <r>
          <rPr>
            <sz val="8"/>
            <color indexed="81"/>
            <rFont val="Tahoma"/>
            <family val="2"/>
          </rPr>
          <t xml:space="preserve">
Apply the 80/30 rule (Adjusted PB * .3)</t>
        </r>
      </text>
    </comment>
    <comment ref="E15" authorId="0" shapeId="0" xr:uid="{D21BF01A-4960-A04A-8D04-61763D5B5363}">
      <text>
        <r>
          <rPr>
            <b/>
            <sz val="8"/>
            <color indexed="81"/>
            <rFont val="Tahoma"/>
            <family val="2"/>
          </rPr>
          <t>Russell Eutsler:</t>
        </r>
        <r>
          <rPr>
            <sz val="8"/>
            <color indexed="81"/>
            <rFont val="Tahoma"/>
            <family val="2"/>
          </rPr>
          <t xml:space="preserve">
Apply the 80/30 rule (Adjusted PB * .3)</t>
        </r>
      </text>
    </comment>
    <comment ref="F15" authorId="0" shapeId="0" xr:uid="{0A71E45C-0AF7-B54F-B8DA-5C6FF8B8E196}">
      <text>
        <r>
          <rPr>
            <b/>
            <sz val="8"/>
            <color indexed="81"/>
            <rFont val="Tahoma"/>
            <family val="2"/>
          </rPr>
          <t>Russell Eutsler:</t>
        </r>
        <r>
          <rPr>
            <sz val="8"/>
            <color indexed="81"/>
            <rFont val="Tahoma"/>
            <family val="2"/>
          </rPr>
          <t xml:space="preserve">
This gives you the total purchase intent for Probably Buy and Definitely Buy at the indicated price point</t>
        </r>
      </text>
    </comment>
    <comment ref="G15" authorId="0" shapeId="0" xr:uid="{032859DB-8F29-8B42-B2EF-F6C19755CD02}">
      <text>
        <r>
          <rPr>
            <b/>
            <sz val="8"/>
            <color indexed="81"/>
            <rFont val="Tahoma"/>
            <family val="2"/>
          </rPr>
          <t>Russell Eutsler:</t>
        </r>
        <r>
          <rPr>
            <sz val="8"/>
            <color indexed="81"/>
            <rFont val="Tahoma"/>
            <family val="2"/>
          </rPr>
          <t xml:space="preserve">
Start from the highest price point (in this case, $6.50) and add the "Sum Across" cell from the same row to the "Cumulative PI" cell from the next higher price (see the formula in the Cumulative PI colum).  
Apply this formula to all cells in the "Cumulative PI" colum.  </t>
        </r>
      </text>
    </comment>
    <comment ref="H15" authorId="0" shapeId="0" xr:uid="{3E4E0412-AF98-8542-82E8-8403BDF3F04F}">
      <text>
        <r>
          <rPr>
            <b/>
            <sz val="8"/>
            <color indexed="81"/>
            <rFont val="Tahoma"/>
            <family val="2"/>
          </rPr>
          <t>Russell Eutsler:</t>
        </r>
        <r>
          <rPr>
            <sz val="8"/>
            <color indexed="81"/>
            <rFont val="Tahoma"/>
            <family val="2"/>
          </rPr>
          <t xml:space="preserve">
Multiply Cumulative PI and Population to get the quantity of units sold.</t>
        </r>
      </text>
    </comment>
    <comment ref="I15" authorId="0" shapeId="0" xr:uid="{AE9525EE-88B2-FE46-B45D-3B9E5E873AF8}">
      <text>
        <r>
          <rPr>
            <b/>
            <sz val="8"/>
            <color indexed="81"/>
            <rFont val="Tahoma"/>
            <family val="2"/>
          </rPr>
          <t>Russell Eutsler:</t>
        </r>
        <r>
          <rPr>
            <sz val="8"/>
            <color indexed="81"/>
            <rFont val="Tahoma"/>
            <family val="2"/>
          </rPr>
          <t xml:space="preserve">
Multiply Quantity and Price to get revenue.</t>
        </r>
      </text>
    </comment>
    <comment ref="A24" authorId="0" shapeId="0" xr:uid="{D41B7A08-FB75-104B-B3F7-D04A722EF916}">
      <text>
        <r>
          <rPr>
            <b/>
            <sz val="8"/>
            <color rgb="FF000000"/>
            <rFont val="Tahoma"/>
            <family val="2"/>
          </rPr>
          <t>Russell Eutsler:</t>
        </r>
        <r>
          <rPr>
            <sz val="8"/>
            <color rgb="FF000000"/>
            <rFont val="Tahoma"/>
            <family val="2"/>
          </rPr>
          <t xml:space="preserve">
</t>
        </r>
        <r>
          <rPr>
            <sz val="8"/>
            <color rgb="FF000000"/>
            <rFont val="Tahoma"/>
            <family val="2"/>
          </rPr>
          <t xml:space="preserve">To create a demand curve:
</t>
        </r>
        <r>
          <rPr>
            <sz val="8"/>
            <color rgb="FF000000"/>
            <rFont val="Tahoma"/>
            <family val="2"/>
          </rPr>
          <t xml:space="preserve">
</t>
        </r>
        <r>
          <rPr>
            <sz val="8"/>
            <color rgb="FF000000"/>
            <rFont val="Tahoma"/>
            <family val="2"/>
          </rPr>
          <t xml:space="preserve">1.  Go to "Insert" then "Chart…" and select XY (Scatter) and click "Next"
</t>
        </r>
        <r>
          <rPr>
            <sz val="8"/>
            <color rgb="FF000000"/>
            <rFont val="Tahoma"/>
            <family val="2"/>
          </rPr>
          <t xml:space="preserve">
</t>
        </r>
        <r>
          <rPr>
            <sz val="8"/>
            <color rgb="FF000000"/>
            <rFont val="Tahoma"/>
            <family val="2"/>
          </rPr>
          <t xml:space="preserve">2.  Select the "Price" colum and "Cumulative PI" colum and click "Next" when you are finished (to select multiple non-adjacent cells in Excel, hold Ctrl and highlight the cells)
</t>
        </r>
        <r>
          <rPr>
            <sz val="8"/>
            <color rgb="FF000000"/>
            <rFont val="Tahoma"/>
            <family val="2"/>
          </rPr>
          <t xml:space="preserve">
</t>
        </r>
        <r>
          <rPr>
            <sz val="8"/>
            <color rgb="FF000000"/>
            <rFont val="Tahoma"/>
            <family val="2"/>
          </rPr>
          <t xml:space="preserve">3.  Apply titles and labels to the chart as desired, click "Next" and "Finish"
</t>
        </r>
        <r>
          <rPr>
            <sz val="8"/>
            <color rgb="FF000000"/>
            <rFont val="Tahoma"/>
            <family val="2"/>
          </rPr>
          <t xml:space="preserve">
</t>
        </r>
        <r>
          <rPr>
            <sz val="8"/>
            <color rgb="FF000000"/>
            <rFont val="Tahoma"/>
            <family val="2"/>
          </rPr>
          <t>See the Demand Curve Tutorial to create a trend line.</t>
        </r>
      </text>
    </comment>
    <comment ref="I24" authorId="0" shapeId="0" xr:uid="{1D451D43-5B07-BE4B-8B91-45C5306ECAAE}">
      <text>
        <r>
          <rPr>
            <b/>
            <sz val="8"/>
            <color indexed="81"/>
            <rFont val="Tahoma"/>
            <family val="2"/>
          </rPr>
          <t xml:space="preserve">Russell Eutsler:
</t>
        </r>
        <r>
          <rPr>
            <sz val="8"/>
            <color indexed="81"/>
            <rFont val="Tahoma"/>
            <family val="2"/>
          </rPr>
          <t>This cell is reserved for the revenue maximizing price to be determined by solver.  It will initially be blank.</t>
        </r>
      </text>
    </comment>
    <comment ref="J24" authorId="0" shapeId="0" xr:uid="{E83FB2AA-73F3-7B4C-B513-9601710A2AFD}">
      <text>
        <r>
          <rPr>
            <b/>
            <sz val="8"/>
            <color rgb="FF000000"/>
            <rFont val="Tahoma"/>
            <family val="2"/>
          </rPr>
          <t>Russell Eutsler:</t>
        </r>
        <r>
          <rPr>
            <sz val="8"/>
            <color rgb="FF000000"/>
            <rFont val="Tahoma"/>
            <family val="2"/>
          </rPr>
          <t xml:space="preserve">
</t>
        </r>
        <r>
          <rPr>
            <sz val="8"/>
            <color rgb="FF000000"/>
            <rFont val="Tahoma"/>
            <family val="2"/>
          </rPr>
          <t xml:space="preserve">Copy the equation for trend line derived in the chart and replace "x" with the RM Price cell.
</t>
        </r>
        <r>
          <rPr>
            <sz val="8"/>
            <color rgb="FF000000"/>
            <rFont val="Tahoma"/>
            <family val="2"/>
          </rPr>
          <t xml:space="preserve">
</t>
        </r>
        <r>
          <rPr>
            <sz val="8"/>
            <color rgb="FF000000"/>
            <rFont val="Tahoma"/>
            <family val="2"/>
          </rPr>
          <t>Be careful when copying and pasting the trend line equation, excel will not translate scientific notation into a numeric value (ex. 5.0E-6 should be .000005)</t>
        </r>
      </text>
    </comment>
    <comment ref="K24" authorId="0" shapeId="0" xr:uid="{A71C7134-CC97-5246-9256-7CD159B40A9C}">
      <text>
        <r>
          <rPr>
            <b/>
            <sz val="8"/>
            <color indexed="81"/>
            <rFont val="Tahoma"/>
            <family val="2"/>
          </rPr>
          <t>Russell Eutsler:</t>
        </r>
        <r>
          <rPr>
            <sz val="8"/>
            <color indexed="81"/>
            <rFont val="Tahoma"/>
            <family val="2"/>
          </rPr>
          <t xml:space="preserve">
= RM Price * Cumulative PI * Population</t>
        </r>
      </text>
    </comment>
    <comment ref="A43" authorId="0" shapeId="0" xr:uid="{EF65FBBC-EB20-834C-A820-8864A6D2C154}">
      <text>
        <r>
          <rPr>
            <b/>
            <sz val="8"/>
            <color rgb="FF000000"/>
            <rFont val="Tahoma"/>
            <family val="2"/>
          </rPr>
          <t>Russell Eutsler:</t>
        </r>
        <r>
          <rPr>
            <sz val="8"/>
            <color rgb="FF000000"/>
            <rFont val="Tahoma"/>
            <family val="2"/>
          </rPr>
          <t xml:space="preserve">
</t>
        </r>
        <r>
          <rPr>
            <sz val="8"/>
            <color rgb="FF000000"/>
            <rFont val="Tahoma"/>
            <family val="2"/>
          </rPr>
          <t xml:space="preserve">When excel creates this table, you will have many entries for max price.  Right click anywhere in the Pivot Table and select "Group" and select an appropriate grouping.
</t>
        </r>
        <r>
          <rPr>
            <sz val="8"/>
            <color rgb="FF000000"/>
            <rFont val="Tahoma"/>
            <family val="2"/>
          </rPr>
          <t xml:space="preserve">
</t>
        </r>
        <r>
          <rPr>
            <sz val="8"/>
            <color rgb="FF000000"/>
            <rFont val="Tahoma"/>
            <family val="2"/>
          </rPr>
          <t>And don't forget to select "Count."</t>
        </r>
      </text>
    </comment>
    <comment ref="I51" authorId="0" shapeId="0" xr:uid="{67C175E4-D009-7747-9928-A96AFF429783}">
      <text>
        <r>
          <rPr>
            <b/>
            <sz val="8"/>
            <color indexed="81"/>
            <rFont val="Tahoma"/>
            <family val="2"/>
          </rPr>
          <t>Russell Eutsler:</t>
        </r>
        <r>
          <rPr>
            <sz val="8"/>
            <color indexed="81"/>
            <rFont val="Tahoma"/>
            <family val="2"/>
          </rPr>
          <t xml:space="preserve">
Paste data that you wish to analyze from the pivot table to somewhere else in the spreadsheet, and reference the pasted data.</t>
        </r>
      </text>
    </comment>
    <comment ref="A56" authorId="0" shapeId="0" xr:uid="{97B9F7E9-5C7A-9A46-8FB9-AEA17BC04990}">
      <text>
        <r>
          <rPr>
            <b/>
            <sz val="8"/>
            <color rgb="FF000000"/>
            <rFont val="Tahoma"/>
            <family val="2"/>
          </rPr>
          <t>Russell Eutsler:</t>
        </r>
        <r>
          <rPr>
            <sz val="8"/>
            <color rgb="FF000000"/>
            <rFont val="Tahoma"/>
            <family val="2"/>
          </rPr>
          <t xml:space="preserve">
</t>
        </r>
        <r>
          <rPr>
            <sz val="8"/>
            <color rgb="FF000000"/>
            <rFont val="Tahoma"/>
            <family val="2"/>
          </rPr>
          <t>For price ranges, use the midpoint of the price range for a given response (ex. "$1.00-1.99" would be $1.50</t>
        </r>
      </text>
    </comment>
    <comment ref="B56" authorId="0" shapeId="0" xr:uid="{C3FF08FE-DA7B-D741-9AB0-BC2EBB4BDEF8}">
      <text>
        <r>
          <rPr>
            <b/>
            <sz val="8"/>
            <color indexed="81"/>
            <rFont val="Tahoma"/>
            <family val="2"/>
          </rPr>
          <t>Russell Eutsler:</t>
        </r>
        <r>
          <rPr>
            <sz val="8"/>
            <color indexed="81"/>
            <rFont val="Tahoma"/>
            <family val="2"/>
          </rPr>
          <t xml:space="preserve">
Here you adjust for the percentage of  PB by dividing the total of PB into your sample size</t>
        </r>
      </text>
    </comment>
    <comment ref="C56" authorId="0" shapeId="0" xr:uid="{0AAF5815-C0BF-F848-A1C5-1AE70DE678E8}">
      <text>
        <r>
          <rPr>
            <b/>
            <sz val="8"/>
            <color indexed="81"/>
            <rFont val="Tahoma"/>
            <family val="2"/>
          </rPr>
          <t>Russell Eutsler:</t>
        </r>
        <r>
          <rPr>
            <sz val="8"/>
            <color indexed="81"/>
            <rFont val="Tahoma"/>
            <family val="2"/>
          </rPr>
          <t xml:space="preserve">
Here you adjust for the percentage of DB by dividing the total of DB into your sample size</t>
        </r>
      </text>
    </comment>
    <comment ref="D56" authorId="0" shapeId="0" xr:uid="{4E41E79C-543A-8B4E-85BC-A14EF8C70AAE}">
      <text>
        <r>
          <rPr>
            <b/>
            <sz val="8"/>
            <color indexed="81"/>
            <rFont val="Tahoma"/>
            <family val="2"/>
          </rPr>
          <t>Russell Eutsler:</t>
        </r>
        <r>
          <rPr>
            <sz val="8"/>
            <color indexed="81"/>
            <rFont val="Tahoma"/>
            <family val="2"/>
          </rPr>
          <t xml:space="preserve">
Apply the 80/30 rule (Adjusted PB * .3)</t>
        </r>
      </text>
    </comment>
    <comment ref="E56" authorId="0" shapeId="0" xr:uid="{DE44237B-FD58-C948-9CB3-FAB9FDE9CD71}">
      <text>
        <r>
          <rPr>
            <b/>
            <sz val="8"/>
            <color indexed="81"/>
            <rFont val="Tahoma"/>
            <family val="2"/>
          </rPr>
          <t>Russell Eutsler:</t>
        </r>
        <r>
          <rPr>
            <sz val="8"/>
            <color indexed="81"/>
            <rFont val="Tahoma"/>
            <family val="2"/>
          </rPr>
          <t xml:space="preserve">
Apply the 80/30 rule (Adjusted DB * .8)</t>
        </r>
      </text>
    </comment>
    <comment ref="F56" authorId="0" shapeId="0" xr:uid="{D5E156D5-783B-D24D-BAF8-C50363879569}">
      <text>
        <r>
          <rPr>
            <b/>
            <sz val="8"/>
            <color indexed="81"/>
            <rFont val="Tahoma"/>
            <family val="2"/>
          </rPr>
          <t>Russell Eutsler:</t>
        </r>
        <r>
          <rPr>
            <sz val="8"/>
            <color indexed="81"/>
            <rFont val="Tahoma"/>
            <family val="2"/>
          </rPr>
          <t xml:space="preserve">
This gives you the total purchase intent for Probably Buy and Definitely Buy at the indicated price point</t>
        </r>
      </text>
    </comment>
    <comment ref="G56" authorId="0" shapeId="0" xr:uid="{CE838DDE-EEBC-4B49-AD55-F9708F0B9384}">
      <text>
        <r>
          <rPr>
            <b/>
            <sz val="8"/>
            <color indexed="81"/>
            <rFont val="Tahoma"/>
            <family val="2"/>
          </rPr>
          <t>Russell Eutsler:</t>
        </r>
        <r>
          <rPr>
            <sz val="8"/>
            <color indexed="81"/>
            <rFont val="Tahoma"/>
            <family val="2"/>
          </rPr>
          <t xml:space="preserve">
Start from the highest price point (in this case, $9.50) and add the "Sum Across" cell from the same row to the "Cumulative PI" cell from the next higher price (see the formula in the Cumulative PI colum).  
Apply this formula to all cells in the "Cumulative PI" colum.  </t>
        </r>
      </text>
    </comment>
    <comment ref="I63" authorId="0" shapeId="0" xr:uid="{A78C2ADF-EB0E-8541-987E-374FDC14CAEA}">
      <text>
        <r>
          <rPr>
            <b/>
            <sz val="8"/>
            <color indexed="81"/>
            <rFont val="Tahoma"/>
            <family val="2"/>
          </rPr>
          <t>Russell Eutsler:</t>
        </r>
        <r>
          <rPr>
            <sz val="8"/>
            <color indexed="81"/>
            <rFont val="Tahoma"/>
            <family val="2"/>
          </rPr>
          <t xml:space="preserve">
Multiply Quantity and Price to get revenue.</t>
        </r>
      </text>
    </comment>
    <comment ref="H65" authorId="0" shapeId="0" xr:uid="{5CD55662-B714-E44E-82A3-D92D4E505412}">
      <text>
        <r>
          <rPr>
            <b/>
            <sz val="8"/>
            <color indexed="81"/>
            <rFont val="Tahoma"/>
            <family val="2"/>
          </rPr>
          <t>Russell Eutsler:</t>
        </r>
        <r>
          <rPr>
            <sz val="8"/>
            <color indexed="81"/>
            <rFont val="Tahoma"/>
            <family val="2"/>
          </rPr>
          <t xml:space="preserve">
Multiple Cumulative PI and Population to get the quantity of units sold.</t>
        </r>
      </text>
    </comment>
    <comment ref="I74" authorId="0" shapeId="0" xr:uid="{13723095-F3BD-A14F-B000-3B4791B059EC}">
      <text>
        <r>
          <rPr>
            <b/>
            <sz val="8"/>
            <color indexed="81"/>
            <rFont val="Tahoma"/>
            <family val="2"/>
          </rPr>
          <t xml:space="preserve">Russell Eutsler:
</t>
        </r>
        <r>
          <rPr>
            <sz val="8"/>
            <color indexed="81"/>
            <rFont val="Tahoma"/>
            <family val="2"/>
          </rPr>
          <t>This cell is reserved for the revenue maximizing price to be determined by solver.  It will initially be blank.</t>
        </r>
      </text>
    </comment>
    <comment ref="J75" authorId="0" shapeId="0" xr:uid="{5FECBB8B-D96F-7941-B6D9-6B392AEA2595}">
      <text>
        <r>
          <rPr>
            <b/>
            <sz val="8"/>
            <color indexed="81"/>
            <rFont val="Tahoma"/>
            <family val="2"/>
          </rPr>
          <t>Russell Eutsler:</t>
        </r>
        <r>
          <rPr>
            <sz val="8"/>
            <color indexed="81"/>
            <rFont val="Tahoma"/>
            <family val="2"/>
          </rPr>
          <t xml:space="preserve">
Copy the equation for trend line derived in the chart and replace "x" with the RM Price cell.
Be careful when copying and pasting the trend line equation, excel will not translate scientific notation into a numeric value (ex. 5.0E-6 should be .000005)</t>
        </r>
      </text>
    </comment>
    <comment ref="K75" authorId="0" shapeId="0" xr:uid="{506DD1EA-F7F2-4E43-9CD5-C6EDCF902D8A}">
      <text>
        <r>
          <rPr>
            <b/>
            <sz val="8"/>
            <color rgb="FF000000"/>
            <rFont val="Tahoma"/>
            <family val="2"/>
          </rPr>
          <t>Russell Eutsler:</t>
        </r>
        <r>
          <rPr>
            <sz val="8"/>
            <color rgb="FF000000"/>
            <rFont val="Tahoma"/>
            <family val="2"/>
          </rPr>
          <t xml:space="preserve">
</t>
        </r>
        <r>
          <rPr>
            <sz val="8"/>
            <color rgb="FF000000"/>
            <rFont val="Tahoma"/>
            <family val="2"/>
          </rPr>
          <t xml:space="preserve">= RM Price * Cumulative PI * Population
</t>
        </r>
        <r>
          <rPr>
            <sz val="8"/>
            <color rgb="FF000000"/>
            <rFont val="Tahoma"/>
            <family val="2"/>
          </rPr>
          <t xml:space="preserve">
</t>
        </r>
        <r>
          <rPr>
            <sz val="8"/>
            <color rgb="FF000000"/>
            <rFont val="Tahoma"/>
            <family val="2"/>
          </rPr>
          <t>In this case, the max revenue derived from the Trendline is less than the Max Revenue derived from sample data…perhaps a better fitting line would solve this...</t>
        </r>
      </text>
    </comment>
  </commentList>
</comments>
</file>

<file path=xl/sharedStrings.xml><?xml version="1.0" encoding="utf-8"?>
<sst xmlns="http://schemas.openxmlformats.org/spreadsheetml/2006/main" count="3182" uniqueCount="1221">
  <si>
    <t>Index</t>
  </si>
  <si>
    <t>FE</t>
  </si>
  <si>
    <t>MK</t>
  </si>
  <si>
    <t>OM</t>
  </si>
  <si>
    <t>Impact</t>
  </si>
  <si>
    <t>ACV</t>
  </si>
  <si>
    <t>Awareness</t>
  </si>
  <si>
    <t>Direct Labor Cost/Unit</t>
  </si>
  <si>
    <t>Minimum</t>
  </si>
  <si>
    <t>Maximum</t>
  </si>
  <si>
    <t>Notes</t>
  </si>
  <si>
    <t>Assumptions</t>
  </si>
  <si>
    <t>Mean</t>
  </si>
  <si>
    <t>20213191618873402094</t>
  </si>
  <si>
    <t>IH6iGcm34vBxXd0c</t>
  </si>
  <si>
    <t>Dhpx</t>
  </si>
  <si>
    <t/>
  </si>
  <si>
    <t>20213191618873395183</t>
  </si>
  <si>
    <t>0vuLEG0F3vuauHuG</t>
  </si>
  <si>
    <t>dyQy</t>
  </si>
  <si>
    <t xml:space="preserve"> </t>
  </si>
  <si>
    <t>(In US Dollars)</t>
  </si>
  <si>
    <t>Y0</t>
  </si>
  <si>
    <t>Y1</t>
  </si>
  <si>
    <t>Y2</t>
  </si>
  <si>
    <t>Y3</t>
  </si>
  <si>
    <t>Y4</t>
  </si>
  <si>
    <t>Y5</t>
  </si>
  <si>
    <t>PupPal</t>
  </si>
  <si>
    <t xml:space="preserve">Initial Startup Costs (column 0) </t>
  </si>
  <si>
    <t xml:space="preserve">  INITIAL INVESTMENT IN FIXED ASSETS</t>
  </si>
  <si>
    <t>Long Term Balance Sheet Items (Can be depreciated - includes IS equip &amp; Factory/office buildout costs)</t>
  </si>
  <si>
    <t xml:space="preserve">  INITIAL WORKING CAPITAL</t>
  </si>
  <si>
    <t>Cash (Additional Cash required in addition to Start Up costs)</t>
  </si>
  <si>
    <t>Raw Materials &amp; Work in Process (Put Year 1-5 in table Below)</t>
  </si>
  <si>
    <t>Finished Goods (Put Year 1-5 in table Below)</t>
  </si>
  <si>
    <t xml:space="preserve">  INITIAL OPERATING EXPENSES (TAX DEDUCTIBLE)</t>
  </si>
  <si>
    <t xml:space="preserve">      Product Development (Prototype, engineer, etc.)</t>
  </si>
  <si>
    <t>$35,000 App Development + $35,000 Mechanical Development</t>
  </si>
  <si>
    <t xml:space="preserve">      Pre-Marketing Expenses (Marketing expenses before year 1)</t>
  </si>
  <si>
    <t>15% of push and pull budget for Y1</t>
  </si>
  <si>
    <t xml:space="preserve">      All Other (Miscellaneous non depreciated expenses, additional salaries, Rent etc.)</t>
  </si>
  <si>
    <t>Total Start Up Operating Expenses</t>
  </si>
  <si>
    <t>Operating Information (Year 1 - 5)</t>
  </si>
  <si>
    <t xml:space="preserve">  UNITS SOLD</t>
  </si>
  <si>
    <t xml:space="preserve">   Units into independent retailers</t>
  </si>
  <si>
    <t xml:space="preserve">   Units online</t>
  </si>
  <si>
    <t xml:space="preserve">   Units into chain retailer</t>
  </si>
  <si>
    <t xml:space="preserve">   Units into mass merchants</t>
  </si>
  <si>
    <t>Total Units Sold</t>
  </si>
  <si>
    <t xml:space="preserve">  MANUFACTURER SELLING PRICE</t>
  </si>
  <si>
    <t xml:space="preserve">   To independent retailers</t>
  </si>
  <si>
    <t xml:space="preserve">   For online sales</t>
  </si>
  <si>
    <t xml:space="preserve">   To chain retailer</t>
  </si>
  <si>
    <t xml:space="preserve">   To mass merchants</t>
  </si>
  <si>
    <t xml:space="preserve"> Average WEIGHTED manufacturer's selling price to channel</t>
  </si>
  <si>
    <t xml:space="preserve">  COST OF GOODS SOLD</t>
  </si>
  <si>
    <r>
      <rPr>
        <sz val="12"/>
        <color theme="1"/>
        <rFont val="Arial"/>
        <family val="2"/>
      </rPr>
      <t xml:space="preserve">        Variab</t>
    </r>
    <r>
      <rPr>
        <sz val="12"/>
        <color theme="1"/>
        <rFont val="Arial"/>
        <family val="2"/>
      </rPr>
      <t xml:space="preserve">le Cost </t>
    </r>
    <r>
      <rPr>
        <sz val="12"/>
        <color theme="1"/>
        <rFont val="Arial"/>
        <family val="2"/>
      </rPr>
      <t>Per Unit ($/Unit) (Total Direct Cost = Direct Labor + Direct Materials )</t>
    </r>
  </si>
  <si>
    <r>
      <rPr>
        <b/>
        <sz val="12"/>
        <color theme="1"/>
        <rFont val="Arial"/>
        <family val="2"/>
      </rPr>
      <t xml:space="preserve">      </t>
    </r>
    <r>
      <rPr>
        <sz val="12"/>
        <color theme="1"/>
        <rFont val="Arial"/>
        <family val="2"/>
      </rPr>
      <t xml:space="preserve">  Total Outbound Freight ($) The gross amount, not per unit</t>
    </r>
  </si>
  <si>
    <t>Total Variable Costs Including Freight ($)</t>
  </si>
  <si>
    <t xml:space="preserve">        Fixed Production Costs ($) (Total MOH per year)</t>
  </si>
  <si>
    <t>Total Cost of Goods Sold</t>
  </si>
  <si>
    <t xml:space="preserve">  SELLING &amp; GENERAL ADMINISTRATIVE EXPENSES</t>
  </si>
  <si>
    <t xml:space="preserve">      Production costs not included in Cost of Good sold (if any)</t>
  </si>
  <si>
    <t xml:space="preserve">       Fixed Administrative Costs </t>
  </si>
  <si>
    <t xml:space="preserve">       Marketing Expenses (Push and Pull) Excluding Manufacturers Reps ($)</t>
  </si>
  <si>
    <t xml:space="preserve">     Manufacturer's Sales Reps Commission Expense (10%)</t>
  </si>
  <si>
    <t xml:space="preserve">  IS EXPENSES</t>
  </si>
  <si>
    <t xml:space="preserve">Total SG&amp;A Expenses </t>
  </si>
  <si>
    <t>Balance Sheet Information (Year 1-5)</t>
  </si>
  <si>
    <t>Raw Materials &amp; Work in Process (Time 0 is above in Start Up Section)</t>
  </si>
  <si>
    <t>Finished Goods (Time 0 is above in Start Up Section)</t>
  </si>
  <si>
    <t>Additional Investment in Fixed Assets, more capacity or replacement</t>
  </si>
  <si>
    <t xml:space="preserve">  OTHER ASSUMPTIONS</t>
  </si>
  <si>
    <t xml:space="preserve">       Discount Rate </t>
  </si>
  <si>
    <t>TBD from 10%-50%. Use CAPM.</t>
  </si>
  <si>
    <t>20% as a holder</t>
  </si>
  <si>
    <t xml:space="preserve">       Commission Paid to Manufacturers Reps</t>
  </si>
  <si>
    <t>See MK Instructions</t>
  </si>
  <si>
    <t xml:space="preserve">       Tax Rate</t>
  </si>
  <si>
    <t>Given Assumption (21% Federal, 6% State), no further research required</t>
  </si>
  <si>
    <t xml:space="preserve">       Cash as a Percentage Sales </t>
  </si>
  <si>
    <t>Given Assumption, up to a max of $300K, no further research required</t>
  </si>
  <si>
    <t>Income Statement</t>
  </si>
  <si>
    <t>Start-up</t>
  </si>
  <si>
    <t>Year 1</t>
  </si>
  <si>
    <t>Year 2</t>
  </si>
  <si>
    <t>Year 3</t>
  </si>
  <si>
    <t>Year 4</t>
  </si>
  <si>
    <t>Year 5</t>
  </si>
  <si>
    <t>TOTAL REVENUES</t>
  </si>
  <si>
    <t xml:space="preserve">     Variable Costs</t>
  </si>
  <si>
    <t xml:space="preserve">     Fixed Production Costs (allocated Manufacturing overhead)</t>
  </si>
  <si>
    <t>Year 0 Cost of Goods Manufactured</t>
  </si>
  <si>
    <t>TOTAL COST OF GOODS SOLD</t>
  </si>
  <si>
    <t>GROSS PROFIT</t>
  </si>
  <si>
    <t>Year 0 Net Operating Expenses</t>
  </si>
  <si>
    <t>One-time  Start Up Expenses</t>
  </si>
  <si>
    <t xml:space="preserve">Administrative Overhead (salaries) </t>
  </si>
  <si>
    <t>General operating expenses not already part of COGS</t>
  </si>
  <si>
    <t>Marketing Expenses Excluding Mfg Reps Commisions</t>
  </si>
  <si>
    <t>Manufacturer's Sales Reps Commission Expense (10%)</t>
  </si>
  <si>
    <t xml:space="preserve"> Depreciation on original PP&amp;E</t>
  </si>
  <si>
    <t xml:space="preserve"> Depreciation on new PP&amp;E (purchased after start-up)</t>
  </si>
  <si>
    <t>Earnings Before Tax</t>
  </si>
  <si>
    <t xml:space="preserve">      Taxes</t>
  </si>
  <si>
    <t>NET INCOME</t>
  </si>
  <si>
    <t>Statement of Retained Earnings</t>
  </si>
  <si>
    <t>Retained earnings at start of period</t>
  </si>
  <si>
    <t xml:space="preserve">Net Income </t>
  </si>
  <si>
    <t>minus cash returned to investors (dividends)</t>
  </si>
  <si>
    <t>Increase (Decrease) in Retained Earnings</t>
  </si>
  <si>
    <t>Income Statement Financial Ratios</t>
  </si>
  <si>
    <t>COGS % Sales</t>
  </si>
  <si>
    <t>Gross Margin % Sales</t>
  </si>
  <si>
    <t>Net Income % Sales</t>
  </si>
  <si>
    <t>SG&amp;A % Sales</t>
  </si>
  <si>
    <t>Marketing Expenses % Sales</t>
  </si>
  <si>
    <t>Balance Sheet</t>
  </si>
  <si>
    <t>Time 0</t>
  </si>
  <si>
    <t>Current Assets</t>
  </si>
  <si>
    <t>Cash reserves</t>
  </si>
  <si>
    <t>Accounts Receivable</t>
  </si>
  <si>
    <t>Raw Materials and WIP</t>
  </si>
  <si>
    <t>Finished Goods Inventory</t>
  </si>
  <si>
    <t xml:space="preserve">    Current Assets</t>
  </si>
  <si>
    <t>Fixed Assets</t>
  </si>
  <si>
    <t>Gross Fixed Assets</t>
  </si>
  <si>
    <t>Accumulated Depreciation</t>
  </si>
  <si>
    <t>Net Fixed Assets</t>
  </si>
  <si>
    <t>TOTAL ASSETS</t>
  </si>
  <si>
    <t>Current Liabilities</t>
  </si>
  <si>
    <t>Accounts Payable</t>
  </si>
  <si>
    <t xml:space="preserve">     Current Liabilities</t>
  </si>
  <si>
    <t>Equity</t>
  </si>
  <si>
    <t>Paid in Capital (Cumulative)</t>
  </si>
  <si>
    <t>Retained Earnings (cumulative)</t>
  </si>
  <si>
    <t xml:space="preserve">      Total Equity</t>
  </si>
  <si>
    <t>TOTAL LIABILTIES AND EQUITY</t>
  </si>
  <si>
    <t>Check Total Assets - Total Liabilities &amp; Equity</t>
  </si>
  <si>
    <t>Net Working Capital Balance (Current Assets - Current Liabilities)</t>
  </si>
  <si>
    <t>Balance Sheet Financial Ratios</t>
  </si>
  <si>
    <t>Accounts Receivable Days</t>
  </si>
  <si>
    <t>Accounts Payable Days</t>
  </si>
  <si>
    <t>Total Inventory Days</t>
  </si>
  <si>
    <t>Statement of Cash Flow</t>
  </si>
  <si>
    <t>CAPM</t>
  </si>
  <si>
    <t>Initial Investment in Fixed Assets</t>
  </si>
  <si>
    <t>10 Year T-bill Yield</t>
  </si>
  <si>
    <t>ß</t>
  </si>
  <si>
    <t>Net Income</t>
  </si>
  <si>
    <t>S&amp;P Average 10 Year Return</t>
  </si>
  <si>
    <t xml:space="preserve"> + Depreciation</t>
  </si>
  <si>
    <t>Equity Cost of Capital (Before Small Business Premium)</t>
  </si>
  <si>
    <t>+/- Change in Net Working Capital</t>
  </si>
  <si>
    <t>Small Business Premium</t>
  </si>
  <si>
    <t xml:space="preserve"> - Change in Fixed Assets</t>
  </si>
  <si>
    <t xml:space="preserve">Equity Cost of Capital </t>
  </si>
  <si>
    <t>Net Free Cash Flow</t>
  </si>
  <si>
    <t>Terminal Value of Business</t>
  </si>
  <si>
    <t xml:space="preserve">Total Cash Flow </t>
  </si>
  <si>
    <t>CASH NEEDED</t>
  </si>
  <si>
    <t>FORECAST</t>
  </si>
  <si>
    <t>G</t>
  </si>
  <si>
    <t>Net Present Value: Including TV</t>
  </si>
  <si>
    <t>Internal Rate of Return: Including TV</t>
  </si>
  <si>
    <t>Growth</t>
  </si>
  <si>
    <t>Y6</t>
  </si>
  <si>
    <t>Y7</t>
  </si>
  <si>
    <t>Receivables</t>
  </si>
  <si>
    <t>Not Online %</t>
  </si>
  <si>
    <t>Online %</t>
  </si>
  <si>
    <t>Not Online A/R</t>
  </si>
  <si>
    <t>Online A/R</t>
  </si>
  <si>
    <t>Total A/R</t>
  </si>
  <si>
    <t>Payables</t>
  </si>
  <si>
    <t>US%</t>
  </si>
  <si>
    <t>CHINA%</t>
  </si>
  <si>
    <t>US A/P</t>
  </si>
  <si>
    <t>CHINA A/P</t>
  </si>
  <si>
    <t>Total A/P</t>
  </si>
  <si>
    <t>Total Target Market</t>
  </si>
  <si>
    <t>Year</t>
  </si>
  <si>
    <t>Target Market Size (1.5% annual growth rate)</t>
  </si>
  <si>
    <t>% increase rate of purchase intention</t>
  </si>
  <si>
    <t>ADJUSTED purchase intention @ $300</t>
  </si>
  <si>
    <t xml:space="preserve">Trial % </t>
  </si>
  <si>
    <t>Trial Units</t>
  </si>
  <si>
    <t>Units at trial</t>
  </si>
  <si>
    <t>Forecasted Units</t>
  </si>
  <si>
    <t>Repeat Units</t>
  </si>
  <si>
    <t>-</t>
  </si>
  <si>
    <t>BASES Units (before competition)</t>
  </si>
  <si>
    <t>Competition adjustment (units lost to competition)</t>
  </si>
  <si>
    <t>TOTAL UNITS</t>
  </si>
  <si>
    <t>Average WEIGHTED manufacturing price</t>
  </si>
  <si>
    <t>Manufacturer Sales ($)</t>
  </si>
  <si>
    <t>Average WEIGHTED retail price</t>
  </si>
  <si>
    <t>Retail Revenue ($)</t>
  </si>
  <si>
    <t>Competitor Price Analysis</t>
  </si>
  <si>
    <t>PupPal Retail Price</t>
  </si>
  <si>
    <t>Independent</t>
  </si>
  <si>
    <t>Amazon</t>
  </si>
  <si>
    <t>Chain</t>
  </si>
  <si>
    <t>Mass Merchant</t>
  </si>
  <si>
    <t>Y1 Average Weighted</t>
  </si>
  <si>
    <t>% Man Total Units</t>
  </si>
  <si>
    <t>Manufacturing Selling Price</t>
  </si>
  <si>
    <t xml:space="preserve">Retailer Margin </t>
  </si>
  <si>
    <t>Retail Selling Price</t>
  </si>
  <si>
    <t>Manufacturing Sales Total</t>
  </si>
  <si>
    <t>Units into Independent Retailers</t>
  </si>
  <si>
    <t>Units into Online (Amazon)</t>
  </si>
  <si>
    <t>Average WEIGHTED Manufacturer's Selling Price to Channel</t>
  </si>
  <si>
    <t>Average WEIGHTED Retailer Selling Price</t>
  </si>
  <si>
    <t>*Change inputs on identical table under MK Bases Forecast tab</t>
  </si>
  <si>
    <t>Y2 Average Weighted</t>
  </si>
  <si>
    <t>Y3 Average Weighted</t>
  </si>
  <si>
    <t>Units into Chains (PetCo &amp; Chewy)</t>
  </si>
  <si>
    <t>Y4 Average Weighted</t>
  </si>
  <si>
    <t>Units into Mass Merchants (Target)</t>
  </si>
  <si>
    <t>Y5 Average Weighted</t>
  </si>
  <si>
    <t>IMC Schedule Awareness</t>
  </si>
  <si>
    <t>PULL</t>
  </si>
  <si>
    <t>PAID</t>
  </si>
  <si>
    <t>Magazine Ads (Not until year 3)</t>
  </si>
  <si>
    <t>Fairs/Events</t>
  </si>
  <si>
    <t>Online (25% of total)</t>
  </si>
  <si>
    <t>Creative Marketing Idea: QR Hunt, Hamster Ball in dog park</t>
  </si>
  <si>
    <t>EARNED</t>
  </si>
  <si>
    <t>PR Magazines and Blogs</t>
  </si>
  <si>
    <t>WOM</t>
  </si>
  <si>
    <t>Carry Over</t>
  </si>
  <si>
    <t>OWNED</t>
  </si>
  <si>
    <t>Social Media</t>
  </si>
  <si>
    <t>Own Website</t>
  </si>
  <si>
    <t>TOTAL PULL AWARENESS</t>
  </si>
  <si>
    <t>Year 1 IMC Schedule</t>
  </si>
  <si>
    <t>JAN</t>
  </si>
  <si>
    <t>FEB</t>
  </si>
  <si>
    <t>MAR</t>
  </si>
  <si>
    <t>APR</t>
  </si>
  <si>
    <t>MAY</t>
  </si>
  <si>
    <t>JUN</t>
  </si>
  <si>
    <t>JULY</t>
  </si>
  <si>
    <t>AUG</t>
  </si>
  <si>
    <t>SEPT</t>
  </si>
  <si>
    <t>OCT</t>
  </si>
  <si>
    <t>NOV</t>
  </si>
  <si>
    <t>DEC</t>
  </si>
  <si>
    <t>Total Cost</t>
  </si>
  <si>
    <t>CPM</t>
  </si>
  <si>
    <t>Awareness Target Market 1</t>
  </si>
  <si>
    <t>Awareness Target Market 2</t>
  </si>
  <si>
    <t>TOTAL Target Market Awareness</t>
  </si>
  <si>
    <t>N/A</t>
  </si>
  <si>
    <t>Pet Fair - Manchester, New Hampshire</t>
  </si>
  <si>
    <t>Toy Fair - New York, New York</t>
  </si>
  <si>
    <t>Kentucky State Fair - Louisville, Kentucky</t>
  </si>
  <si>
    <t>Dog Fair - Chester, Connecticut</t>
  </si>
  <si>
    <t>Ventura Street Fair - Ventura, California</t>
  </si>
  <si>
    <t>Bark in the Park - San Jose, California</t>
  </si>
  <si>
    <t>Comic Con - San Diego, California</t>
  </si>
  <si>
    <t>Seattle Mart Fall Show - Seattle, Washington</t>
  </si>
  <si>
    <t>Creative expenses @ 5% of total budget</t>
  </si>
  <si>
    <t>Magazines: Healthy Pet, Best Friends, All Animals, Family Dog</t>
  </si>
  <si>
    <t xml:space="preserve">Blogs: TechnoBark, DogTipper, iHeartdogs, Dog Milk, Tucker Budzyn, Doug the Pug, Harlow and Sage, Loki the Wolfdog </t>
  </si>
  <si>
    <t>Own website</t>
  </si>
  <si>
    <t>TOTAL PULL</t>
  </si>
  <si>
    <t>PUSH</t>
  </si>
  <si>
    <t>Trade Shows</t>
  </si>
  <si>
    <t>Global Pet Expo - Orlando, Florida</t>
  </si>
  <si>
    <t>Super Zoo - Las Vegas, Nevada</t>
  </si>
  <si>
    <t>St. Louis Pet Fest - St Charles, Missouri</t>
  </si>
  <si>
    <t>Atlanta Pet Fair &amp; Conference - College Park, Georgia</t>
  </si>
  <si>
    <t>Philadelphia Gift Show - Oaks, Philadelphia</t>
  </si>
  <si>
    <t>Trade Magazine Ads</t>
  </si>
  <si>
    <t>Pet Age</t>
  </si>
  <si>
    <t>Pet Business Magazine</t>
  </si>
  <si>
    <t>TOTAL PUSH</t>
  </si>
  <si>
    <t>TOTAL IMC SCHEDULE</t>
  </si>
  <si>
    <t>COST CALCULATION FOR FAIRS</t>
  </si>
  <si>
    <t>Total Market Awareness</t>
  </si>
  <si>
    <t>COST CALCULATION FOR EXPOS</t>
  </si>
  <si>
    <t>Global Pet Expo</t>
  </si>
  <si>
    <t>Super Zoo</t>
  </si>
  <si>
    <t>St. Louis Pet Fest</t>
  </si>
  <si>
    <t>Atlanta Pet Fair &amp; Conference</t>
  </si>
  <si>
    <t>Philadelphia Gift Show</t>
  </si>
  <si>
    <t>Travel for 1 company employee</t>
  </si>
  <si>
    <t>$550 airfare, $110 hotel room, $350 food and other expenses = $1,010</t>
  </si>
  <si>
    <t>Exhibitor Cost</t>
  </si>
  <si>
    <t>Salary for 2 booth workers (local people interviewed and hired)</t>
  </si>
  <si>
    <t>8 hours a day x3 days x 2 employees x $20/hour = $960 + training $200 = $1160</t>
  </si>
  <si>
    <t>Cost of Booth</t>
  </si>
  <si>
    <t>Cost to exhibit</t>
  </si>
  <si>
    <t>Other Cost</t>
  </si>
  <si>
    <t>Cost for giveaways</t>
  </si>
  <si>
    <t>TOTAL for ALL Expos</t>
  </si>
  <si>
    <t>Cost for table/booth decorations</t>
  </si>
  <si>
    <t>Cost for shipping materials</t>
  </si>
  <si>
    <t>TOTAL per Fair</t>
  </si>
  <si>
    <t>TOTAL for ALL Fairs</t>
  </si>
  <si>
    <t>Year 2 IMC Schedule</t>
  </si>
  <si>
    <t>Word of Mouth (WOM)</t>
  </si>
  <si>
    <t>Year 3 IMC Schedule</t>
  </si>
  <si>
    <t xml:space="preserve">Magazine Ads </t>
  </si>
  <si>
    <t>Healthy Pet (Full-page)</t>
  </si>
  <si>
    <t>Best Friends (1/2-page)</t>
  </si>
  <si>
    <t>All Animals (1/2-page)</t>
  </si>
  <si>
    <t>Family Dog (1/2-page)</t>
  </si>
  <si>
    <t>*67% increase in years 3-5 assumed</t>
  </si>
  <si>
    <t>Online (25% of total OF PULL)</t>
  </si>
  <si>
    <t>Creative Marketing Idea: Hamster Ball in dog park</t>
  </si>
  <si>
    <t>Pet Age (Full-page)</t>
  </si>
  <si>
    <t>Pet Business Magazine (Full-page)</t>
  </si>
  <si>
    <t>Magazine</t>
  </si>
  <si>
    <t>Circulation</t>
  </si>
  <si>
    <t>% in Target</t>
  </si>
  <si>
    <t>Cost for 
 1 full page color ad</t>
  </si>
  <si>
    <t>Cost for ½ page color ad</t>
  </si>
  <si>
    <t>Impressions</t>
  </si>
  <si>
    <t>CPM Full Page</t>
  </si>
  <si>
    <t>CPM Half</t>
  </si>
  <si>
    <t>Total Awareness</t>
  </si>
  <si>
    <t>Healthy Pet</t>
  </si>
  <si>
    <t xml:space="preserve">Best Friends </t>
  </si>
  <si>
    <t>All Animals</t>
  </si>
  <si>
    <t>510,000</t>
  </si>
  <si>
    <t>AKC Family Dog</t>
  </si>
  <si>
    <t>Year 4 IMC Schedule</t>
  </si>
  <si>
    <t>All Animals (Full Page)</t>
  </si>
  <si>
    <t>Year 5 IMC Schedule</t>
  </si>
  <si>
    <t>Best Friends (Full Page)</t>
  </si>
  <si>
    <t>All Animals (Full-page)</t>
  </si>
  <si>
    <t>Family Dog (Full-page)</t>
  </si>
  <si>
    <t>YEAR 0</t>
  </si>
  <si>
    <t>Cost Reduction Calculations</t>
  </si>
  <si>
    <t>From Location</t>
  </si>
  <si>
    <t>Units required per PupPal</t>
  </si>
  <si>
    <t>Price / Unit</t>
  </si>
  <si>
    <t>Order Cost (S)</t>
  </si>
  <si>
    <t>Holding Cost (H)</t>
  </si>
  <si>
    <t>Order Quantity</t>
  </si>
  <si>
    <t>EOQ in Units</t>
  </si>
  <si>
    <t>EOQ in Dollars</t>
  </si>
  <si>
    <t>/10k</t>
  </si>
  <si>
    <t>Cost Reduction % (3% for every 10k)</t>
  </si>
  <si>
    <t>Order Cost</t>
  </si>
  <si>
    <t>Camera</t>
  </si>
  <si>
    <t>China</t>
  </si>
  <si>
    <t>Inductive Charging Dock</t>
  </si>
  <si>
    <t>Plastic Housing (ICD)</t>
  </si>
  <si>
    <t>US</t>
  </si>
  <si>
    <t>Power Cable (ICD)</t>
  </si>
  <si>
    <t>Inductor (ICD)</t>
  </si>
  <si>
    <t>Gyroscopic Mechanism</t>
  </si>
  <si>
    <t>Cost Reduction Assumptions</t>
  </si>
  <si>
    <t>Axis Gyro w/ Accelerometer Module</t>
  </si>
  <si>
    <t>Discount Rate</t>
  </si>
  <si>
    <t>PCB</t>
  </si>
  <si>
    <t>Units Needed For Discount</t>
  </si>
  <si>
    <t>ST Micro STM32 F3 MCU (Microcontroller)</t>
  </si>
  <si>
    <t>3dbi Bluetooth Antenna</t>
  </si>
  <si>
    <t>ST Micro M24512-R 512 (EEPROM)</t>
  </si>
  <si>
    <t>Copper Heat Sink</t>
  </si>
  <si>
    <t>350mAH Li-ion Battery</t>
  </si>
  <si>
    <t>Axle</t>
  </si>
  <si>
    <t>Drive Wheel</t>
  </si>
  <si>
    <t>Inductor</t>
  </si>
  <si>
    <t>Speaker</t>
  </si>
  <si>
    <t>DC Motor</t>
  </si>
  <si>
    <t>Stability Ball Bearing</t>
  </si>
  <si>
    <t>Mechanism Assembly</t>
  </si>
  <si>
    <t>Polyethylene Housing</t>
  </si>
  <si>
    <t>TOTAL</t>
  </si>
  <si>
    <t>YEAR 1</t>
  </si>
  <si>
    <t>Demand in Units (D)</t>
  </si>
  <si>
    <t>* Order cost is inclusive of cost reductions</t>
  </si>
  <si>
    <t>YEAR 2</t>
  </si>
  <si>
    <t>China/Taiwan</t>
  </si>
  <si>
    <t>Total</t>
  </si>
  <si>
    <t>YEAR 3</t>
  </si>
  <si>
    <t>YEAR 4</t>
  </si>
  <si>
    <t>YEAR 5</t>
  </si>
  <si>
    <t>Demand</t>
  </si>
  <si>
    <t>USA</t>
  </si>
  <si>
    <t>Total units</t>
  </si>
  <si>
    <t>Annual Demand</t>
  </si>
  <si>
    <t>Lead times</t>
  </si>
  <si>
    <t>Weight</t>
  </si>
  <si>
    <t>Most Likely</t>
  </si>
  <si>
    <t>Weighted avg</t>
  </si>
  <si>
    <t>SD</t>
  </si>
  <si>
    <t>Weekly</t>
  </si>
  <si>
    <t>Lead Times</t>
  </si>
  <si>
    <t>Y1-Y5</t>
  </si>
  <si>
    <t>Lead Time</t>
  </si>
  <si>
    <t>Service Level</t>
  </si>
  <si>
    <t>Manufacturing Price</t>
  </si>
  <si>
    <t>COGS</t>
  </si>
  <si>
    <t>Cost of Shortage</t>
  </si>
  <si>
    <t>Holding Cost Rate</t>
  </si>
  <si>
    <t>Cost of Excess</t>
  </si>
  <si>
    <t>Z-Score</t>
  </si>
  <si>
    <t>*Holding cost rate given as assumption</t>
  </si>
  <si>
    <t>OM Year 0 Safety Stock/Cycle Stock RM, WIP, FG (Inventory for Start Up)</t>
  </si>
  <si>
    <t>Average Lead Time</t>
  </si>
  <si>
    <t>in weeks</t>
  </si>
  <si>
    <t>Raw Materials</t>
  </si>
  <si>
    <t>Annual Demand Required</t>
  </si>
  <si>
    <t>Raw Materials (Units)</t>
  </si>
  <si>
    <t>Raw Materials ($)</t>
  </si>
  <si>
    <t>Cycle Stock</t>
  </si>
  <si>
    <t>SD Annual Demand</t>
  </si>
  <si>
    <t>Safety Stock</t>
  </si>
  <si>
    <t>In Transit Stock</t>
  </si>
  <si>
    <t>SD LT</t>
  </si>
  <si>
    <t>Total w/o In Transit Stock</t>
  </si>
  <si>
    <t>Work in Process</t>
  </si>
  <si>
    <t>Work in Process (Units)</t>
  </si>
  <si>
    <t>Work in Process ($)</t>
  </si>
  <si>
    <t>Total Material Cost</t>
  </si>
  <si>
    <t>Finished Goods</t>
  </si>
  <si>
    <t>Finished Goods (Units)</t>
  </si>
  <si>
    <t>Finished Goods ($)</t>
  </si>
  <si>
    <t>Pre-built Stock</t>
  </si>
  <si>
    <t>OM Year 1 Safety Stock/Cycle Stock RM, WIP, FG</t>
  </si>
  <si>
    <t>Average Annual Demand</t>
  </si>
  <si>
    <t>OM Year 2 Safety Stock/Cycle Stock RM, WIP, FG</t>
  </si>
  <si>
    <t>OM Year 3 Safety Stock/Cycle Stock RM, WIP, FG</t>
  </si>
  <si>
    <t>OM Year 4 Safety Stock/Cycle Stock RM, WIP, FG</t>
  </si>
  <si>
    <t>OM Year 5 Safety Stock/Cycle Stock RM, WIP, FG</t>
  </si>
  <si>
    <t>Inventory Summary</t>
  </si>
  <si>
    <t>DOLLARS ($)</t>
  </si>
  <si>
    <t>WIP</t>
  </si>
  <si>
    <t>Total Inventory</t>
  </si>
  <si>
    <t>Average Weekly Sales</t>
  </si>
  <si>
    <t>Average Cycle Stock</t>
  </si>
  <si>
    <t>Average Safety Stock</t>
  </si>
  <si>
    <t>Total Inventory Investment</t>
  </si>
  <si>
    <t>Total Inventory as weeks of supply</t>
  </si>
  <si>
    <t>UNITS</t>
  </si>
  <si>
    <t>Assumptions for Physical Conversion Cost</t>
  </si>
  <si>
    <t>If Facility Size &lt; 10,000 sq. ft</t>
  </si>
  <si>
    <t>/sq ft</t>
  </si>
  <si>
    <t>We calculated our facility size to be 8,400 sq. ft</t>
  </si>
  <si>
    <t>10000 sqft facility</t>
  </si>
  <si>
    <t>Cost of Rent</t>
  </si>
  <si>
    <t>5.29/sqft</t>
  </si>
  <si>
    <t>Assumptions for staffing</t>
  </si>
  <si>
    <t>CEO Salary:</t>
  </si>
  <si>
    <t>$110,000-$120,000</t>
  </si>
  <si>
    <t>Worker Benefits:</t>
  </si>
  <si>
    <t>30% of salary or hourly</t>
  </si>
  <si>
    <t>Salaries and Wages:</t>
  </si>
  <si>
    <t>Increase 3% / yr</t>
  </si>
  <si>
    <t>Y1-Y2, CEO will work in MK, FE, or OM sectors too</t>
  </si>
  <si>
    <t>Y1-Y2, managers can cover &gt; 1 function (i.e. FE/OM)</t>
  </si>
  <si>
    <t>Manager salaries based on national averages</t>
  </si>
  <si>
    <t>Compensate for experienced managers</t>
  </si>
  <si>
    <t>Calculate personnel needed to pick, pack, ship</t>
  </si>
  <si>
    <t>Calculate personnel to field inquiries, deal with Q's and returns based on vol.</t>
  </si>
  <si>
    <t>Supervisors in these fields carry out "direct labor"</t>
  </si>
  <si>
    <t>Do NOT have part-time workers in for &lt; 4 hour shifts</t>
  </si>
  <si>
    <t>Part-time labor total cost / hr should be 150% of that of full-time direct workers</t>
  </si>
  <si>
    <t>SG&amp;A expenses should be comprable to similar companies (% of sales)</t>
  </si>
  <si>
    <t>Assumptions for software</t>
  </si>
  <si>
    <t>ERP SaaS</t>
  </si>
  <si>
    <t>upfront</t>
  </si>
  <si>
    <t>/year per employee</t>
  </si>
  <si>
    <t>yearly maintenance fee</t>
  </si>
  <si>
    <t>Assumptions for hardware</t>
  </si>
  <si>
    <t>Laptops for each manager/ executive</t>
  </si>
  <si>
    <t>(3 year warranty)</t>
  </si>
  <si>
    <t>Desktop for all admin</t>
  </si>
  <si>
    <t>One high speed printer</t>
  </si>
  <si>
    <t>per 3 executives</t>
  </si>
  <si>
    <t>Photocopier</t>
  </si>
  <si>
    <t>High end networking equipment</t>
  </si>
  <si>
    <t>Virtual Private Network</t>
  </si>
  <si>
    <t>Firewall security software</t>
  </si>
  <si>
    <t>Assumptions for Internet, phone and other</t>
  </si>
  <si>
    <t>On call, part-time system and network Administrator and trouble-shoot network</t>
  </si>
  <si>
    <t>/ yr</t>
  </si>
  <si>
    <t>All software cost/maintenance</t>
  </si>
  <si>
    <t>Security cameras/equipment</t>
  </si>
  <si>
    <t>Security Vendor</t>
  </si>
  <si>
    <t>/yr</t>
  </si>
  <si>
    <t>Cell phone plans for manager</t>
  </si>
  <si>
    <t>Internet (Y1-Y2)</t>
  </si>
  <si>
    <t>Internet (Y3-Y5)</t>
  </si>
  <si>
    <t>Credit card processing software (Y1)</t>
  </si>
  <si>
    <t>Credit card processing software (Y2)</t>
  </si>
  <si>
    <t>Credit card processing software (Y3)</t>
  </si>
  <si>
    <t>Credit card processing software (Y4)</t>
  </si>
  <si>
    <t>Credit card processing software (Y5)</t>
  </si>
  <si>
    <t>Order Entry System (Shipstation)</t>
  </si>
  <si>
    <t>Aggregate Planning/Labor Scheduling; GVV Assumptions</t>
  </si>
  <si>
    <t>Backlogging product demand costs 3x contribution margin</t>
  </si>
  <si>
    <t>Labor</t>
  </si>
  <si>
    <t>Min Hours/week</t>
  </si>
  <si>
    <t>Max Hours/week</t>
  </si>
  <si>
    <t>Part-time workers</t>
  </si>
  <si>
    <t>Regular workers</t>
  </si>
  <si>
    <t>Overtime</t>
  </si>
  <si>
    <t>Full-time</t>
  </si>
  <si>
    <t>Base wage + 30% Benefits</t>
  </si>
  <si>
    <t>Overtime cost should be 150% of regular time cost</t>
  </si>
  <si>
    <t>Part-time worker's full labor costs (inc hiring + training exp) are 2 times the regular time cost</t>
  </si>
  <si>
    <t>Machines</t>
  </si>
  <si>
    <t>Machine Costs</t>
  </si>
  <si>
    <t>Dimensions (inches)</t>
  </si>
  <si>
    <t>Warranty (Years)</t>
  </si>
  <si>
    <t>Units Required</t>
  </si>
  <si>
    <t>Cost/Unit</t>
  </si>
  <si>
    <t>TotalCost</t>
  </si>
  <si>
    <t>Thermal Forming &amp; Sealing System</t>
  </si>
  <si>
    <t>133.86 x 43.30 x 62.99</t>
  </si>
  <si>
    <t>Custom Material Handling &amp; Conveyor Systems</t>
  </si>
  <si>
    <t>360 x 20</t>
  </si>
  <si>
    <t>Electropolishing Machines</t>
  </si>
  <si>
    <t>119.39 x 124.41</t>
  </si>
  <si>
    <t>Surface Finishing, Grinding, and Polishing Systems</t>
  </si>
  <si>
    <t>56.30 x 29.33 x 39.76</t>
  </si>
  <si>
    <t>Packaging System</t>
  </si>
  <si>
    <t>5.9 x 6.5 x 5</t>
  </si>
  <si>
    <t>Labeling System</t>
  </si>
  <si>
    <t>Laser Marking and Cutting, Impact, and Ink Jet Marking</t>
  </si>
  <si>
    <t>55.1 x 35.4</t>
  </si>
  <si>
    <t>Washing and Drying Systems</t>
  </si>
  <si>
    <t>39.37 x 39.37</t>
  </si>
  <si>
    <t>Metal Working Station and Custom Machining Operations</t>
  </si>
  <si>
    <t>Cycle Time to Produce 1 Unit:</t>
  </si>
  <si>
    <t>References:</t>
  </si>
  <si>
    <t>https://www.alibaba.com/product-detail/Surface-Metal-Polishing-Deburring-Tub-Shape_62307451959.html?spm=a2700.7724857.normal_offer.d_title.32736b864sVawS</t>
  </si>
  <si>
    <t>Packaging and Labeling Systems</t>
  </si>
  <si>
    <t>https://www.supplyone.com/products/packaging-equipment</t>
  </si>
  <si>
    <t>Sealing Machine</t>
  </si>
  <si>
    <t>https://clevelandequipment.com/ce-551tb-top-bottom-belt-uniform-semi-automatic-carton-case-taper-sealer.html?gclid=CjwKCAjw9r-DBhBxEiwA9qYUpUx8x9XM5DNKIG01-KywYSWyRwYP3_iHisWtKJbHxrRQCT39ryaBXxoCnooQAvD_BwE</t>
  </si>
  <si>
    <t>Labelling System</t>
  </si>
  <si>
    <t>https://www.creativesafetysupply.com/labeltac-4-industrial-labeling-system/?gclid=CjwKCAjw9r-DBhBxEiwA9qYUpTeYzeXFvNM4AHzIgL1HM9S2H-cFtO2vIeF-I2v2jqTcbmEtIOFfZxoCAecQAvD_BwE</t>
  </si>
  <si>
    <t>https://www.bosslaser.com/boss-ls-4055.html?keyword=&amp;gclid=CjwKCAjw9r-DBhBxEiwA9qYUpTjE7gCXxd7qB17adtufg_FaBROxwZSbBbcUwzzT8wo-N2VLDDmtwRoCn84QAvD_BwE</t>
  </si>
  <si>
    <t>https://www.katom.com/404-POWERLOADER.html?gclid=CjwKCAjw9r-DBhBxEiwA9qYUpb0NqrhzFmhKGjMZbbsZ7EttJu7wFyaM9aig0qCBRBPIFvGDudHyNhoCY_8QAvD_BwE</t>
  </si>
  <si>
    <t>https://www.toolots.com/haida-hdjs50-servo-motor-plastic-injection-molding-machine-with-dryer-hopper-and-auto-loader.html?cid=10591441119&amp;gclid=CjwKCAjw07qDBhBxEiwA6pPbHnViHQ7cqb8gK_5StA1mpibH8jVXGRGBjXvFod1l29Ppn-6iTOcdJBoC2UAQAvD_BwE#productDetails</t>
  </si>
  <si>
    <t>https://a-lined.com/products/belt-incline-conveyors/</t>
  </si>
  <si>
    <t>https://www.alibaba.com/product-detail/304-stainless-steel-Electrolytic-polishing-electropolishing_1600096837559.html?spm=a2700.7724857.normal_offer.d_title.2d536fabwsPwgb</t>
  </si>
  <si>
    <t>Thermal Forming &amp; Sealing System (LOW PRESSURE Plastics Injection Molding Machine)</t>
  </si>
  <si>
    <t>https://www.loopnet.com/Listing/1225-W-8th-St-Kansas-City-MO/21632207/</t>
  </si>
  <si>
    <t>Security Cameras/Equipment</t>
  </si>
  <si>
    <t>https://simplisafe.com/build-my-system</t>
  </si>
  <si>
    <t>Assumes quantity discount / equipment that a subscription already includes</t>
  </si>
  <si>
    <t>https://support.simplisafe.com/hc/en-us/articles/360029372892-How-much-does-SimpliSafe-cost-</t>
  </si>
  <si>
    <t>Cell Phone Plan</t>
  </si>
  <si>
    <t>https://www.business.att.com/products/att-mobile-select-pooled-plans.html</t>
  </si>
  <si>
    <t>Internet</t>
  </si>
  <si>
    <t>https://www.business.att.com/small-business/internet/high-speed-fiber.html?source=ECmj0000000000mbU&amp;wtExtndSource=fiberfastspeeds&amp;adobe_mc_sdid=SDID%3D21048644377EFECF-39CC9B760CF4D94B%7CMCORGID%3D55633F7A534535110A490D44%40AdobeOrg%7CTS%3D1617917334</t>
  </si>
  <si>
    <t>Credit card processing software</t>
  </si>
  <si>
    <t>https://www.clover.com/campaign/shop?utm_source=google&amp;utm_medium=ppc&amp;utm_campaign=Clover_PPC_450Offer&amp;utm_placement=89766429081&amp;utm_term=%2Bcard%20%2Bprocessor&amp;utm_content=468209432590&amp;utm_adplacement=&amp;utm_match=b&amp;utm_device=c&amp;utm_location=1018127&amp;utm_target=aud-986983121400%3Akwd-305419659799&amp;program=khL4pD&amp;gclid=CjwKCAjw07qDBhBxEiwA6pPbHrnIzrf4e2dGPJ_3pf2F4VViUe4vcyEX497dkDqfQtXIkWqc0vjIvRoCG9AQAvD_BwE</t>
  </si>
  <si>
    <t>2.3% + 10¢ per transaction</t>
  </si>
  <si>
    <t>Credit card processing</t>
  </si>
  <si>
    <t>https://www.businessnewsdaily.com/16077-payment-depot.html</t>
  </si>
  <si>
    <t>$199 Monthly Membership Fee + $0.05 transaction fee</t>
  </si>
  <si>
    <t>Order entry system</t>
  </si>
  <si>
    <t>https://www.shipstation.com/</t>
  </si>
  <si>
    <t>https://gokimco.com/products/production-basics-1005-c-leg-series-standard-stand-alone-workstation-30d-x-60w?variant=31348738326580&amp;utm_source=google&amp;utm_medium=cpc&amp;utm_campaign=Google+Shopping</t>
  </si>
  <si>
    <t>units/hour</t>
  </si>
  <si>
    <t>*from hybrid plan</t>
  </si>
  <si>
    <t>No. of Full Time Assembly Workers</t>
  </si>
  <si>
    <t>No. of Part Time Assembly Workers</t>
  </si>
  <si>
    <t>No. of Full time Manufacturing Workers</t>
  </si>
  <si>
    <t>Full Time Asssembly Workers' Capacity</t>
  </si>
  <si>
    <t>Part Time Assembly Workers' Capacity</t>
  </si>
  <si>
    <t>Total Factory Capacity</t>
  </si>
  <si>
    <t>Average System Capacity Utilization</t>
  </si>
  <si>
    <t>System Capacity Utilization Calculator</t>
  </si>
  <si>
    <t>Major Work Stations</t>
  </si>
  <si>
    <t>No. of Machines</t>
  </si>
  <si>
    <t>Weights</t>
  </si>
  <si>
    <t>Task Time in minutes (Per Batch - 4 PupPals)</t>
  </si>
  <si>
    <t>Capacity Utilization</t>
  </si>
  <si>
    <t>Surface Washing, Finishing, Grinding, and Polishing Systems</t>
  </si>
  <si>
    <t>Cutting, Marking, Packaging &amp; Labeling Systems</t>
  </si>
  <si>
    <t>Throughput Time</t>
  </si>
  <si>
    <t>Total Average Capacity Utilization</t>
  </si>
  <si>
    <t>Hybrid Plan Year 0</t>
  </si>
  <si>
    <t>Expected Monthly Demand %</t>
  </si>
  <si>
    <t>* Finished Goods required for Y1 Months 1 &amp; 2</t>
  </si>
  <si>
    <t>Regular Output Capacity Per Assembly Worker</t>
  </si>
  <si>
    <t>units per hour</t>
  </si>
  <si>
    <t>Period</t>
  </si>
  <si>
    <t>Labor Cost</t>
  </si>
  <si>
    <t>Forecast</t>
  </si>
  <si>
    <t>Beginning Inventory</t>
  </si>
  <si>
    <t>Output</t>
  </si>
  <si>
    <t>Overtime Cost</t>
  </si>
  <si>
    <t xml:space="preserve">    Regular</t>
  </si>
  <si>
    <t>Inventory Holding Cost</t>
  </si>
  <si>
    <t>per month</t>
  </si>
  <si>
    <t xml:space="preserve">    Overtime</t>
  </si>
  <si>
    <t>Part Time Worker Labor Cost</t>
  </si>
  <si>
    <t xml:space="preserve">    Part Time</t>
  </si>
  <si>
    <t xml:space="preserve">    Subcontract</t>
  </si>
  <si>
    <t>Output - Forecast</t>
  </si>
  <si>
    <t>Capacity Year 1</t>
  </si>
  <si>
    <t>Inventory</t>
  </si>
  <si>
    <t>cycle time</t>
  </si>
  <si>
    <t>balls per hour</t>
  </si>
  <si>
    <t>Yield</t>
  </si>
  <si>
    <t xml:space="preserve">    Beginning</t>
  </si>
  <si>
    <t>full-time</t>
  </si>
  <si>
    <t>workers</t>
  </si>
  <si>
    <t>Yield Growth Rate</t>
  </si>
  <si>
    <t xml:space="preserve">    Ending</t>
  </si>
  <si>
    <t>working Hour</t>
  </si>
  <si>
    <t>hr</t>
  </si>
  <si>
    <t xml:space="preserve">    Average</t>
  </si>
  <si>
    <t>working days per month</t>
  </si>
  <si>
    <t>Backorders</t>
  </si>
  <si>
    <t>monthly Full time capacity</t>
  </si>
  <si>
    <t>per worker</t>
  </si>
  <si>
    <t>Costs per unit:</t>
  </si>
  <si>
    <t>total monthly full time capacity</t>
  </si>
  <si>
    <t>units per month</t>
  </si>
  <si>
    <t>Regular        @</t>
  </si>
  <si>
    <t xml:space="preserve">Max part time </t>
  </si>
  <si>
    <t>Overtime      @</t>
  </si>
  <si>
    <t>Part Time     @</t>
  </si>
  <si>
    <t>Subcontract  @</t>
  </si>
  <si>
    <t>monthly part time capacity</t>
  </si>
  <si>
    <t>Inventory      @</t>
  </si>
  <si>
    <t>total monthly part time capacity</t>
  </si>
  <si>
    <t>Backorders  @</t>
  </si>
  <si>
    <t>Total Part-Time Workers</t>
  </si>
  <si>
    <t>Hybrid Plan Year 1</t>
  </si>
  <si>
    <t>Total (Yield = 82%)</t>
  </si>
  <si>
    <t>Costs:</t>
  </si>
  <si>
    <t>Hybrid Plan Year 2</t>
  </si>
  <si>
    <t>Capacity Year 2</t>
  </si>
  <si>
    <t>Hybrid Plan Year 3</t>
  </si>
  <si>
    <t>Capacity Year 3</t>
  </si>
  <si>
    <t>Hybrid Plan Year 4</t>
  </si>
  <si>
    <t>Total (Yield = 93%)</t>
  </si>
  <si>
    <t>Capacity Year 4</t>
  </si>
  <si>
    <t>Hybrid Plan Year 5</t>
  </si>
  <si>
    <t>Capacity Year 5</t>
  </si>
  <si>
    <t>Hire/Lay off</t>
  </si>
  <si>
    <t>Labor Costs</t>
  </si>
  <si>
    <t>Plant Manager</t>
  </si>
  <si>
    <t>Floor Manager</t>
  </si>
  <si>
    <t>Quality Assurance Manager</t>
  </si>
  <si>
    <t xml:space="preserve">PART-Time Assembly Workers </t>
  </si>
  <si>
    <t>FULL-Time Manufacturing Workers (x8)</t>
  </si>
  <si>
    <t>CEO</t>
  </si>
  <si>
    <t>Accounting Clerk</t>
  </si>
  <si>
    <t>Customer Service Team (2 in y1-2, 4 in yr 3-5)</t>
  </si>
  <si>
    <t>Mechanical Engineer</t>
  </si>
  <si>
    <t>CFO/Financial Manager</t>
  </si>
  <si>
    <t>COO/Operating Manager</t>
  </si>
  <si>
    <t>CMO/Marketing Manager</t>
  </si>
  <si>
    <t>Benefits</t>
  </si>
  <si>
    <t>Year 0</t>
  </si>
  <si>
    <t>Total Salaries + Benefits</t>
  </si>
  <si>
    <t>Costs</t>
  </si>
  <si>
    <t>Facility Costs</t>
  </si>
  <si>
    <t>Staffing</t>
  </si>
  <si>
    <t>Software</t>
  </si>
  <si>
    <t>Hardware</t>
  </si>
  <si>
    <t>IS</t>
  </si>
  <si>
    <t>Transit Vehicles</t>
  </si>
  <si>
    <t>TOTAL Costs</t>
  </si>
  <si>
    <t>% of Total Costs</t>
  </si>
  <si>
    <t>TOTAL %</t>
  </si>
  <si>
    <t>Rent link</t>
  </si>
  <si>
    <t>$0.31/sqft</t>
  </si>
  <si>
    <t>https://www.loopnet.com/missouri/kansas-city_warehouses-for-lease/</t>
  </si>
  <si>
    <t>yr 0</t>
  </si>
  <si>
    <t>Insurance</t>
  </si>
  <si>
    <t>$450/yr</t>
  </si>
  <si>
    <t>https://www.insurancetrak.com/insurance-by-industry/manufacturers-insurance#:~:text=Average%20cost%20of%20manufacturers%20business,for%20only%20business%20liability%20insurance.</t>
  </si>
  <si>
    <t>yr 1</t>
  </si>
  <si>
    <t>yr 2</t>
  </si>
  <si>
    <t>yr 3</t>
  </si>
  <si>
    <t>yr 4</t>
  </si>
  <si>
    <t>yr 5</t>
  </si>
  <si>
    <t>capacity per worker</t>
  </si>
  <si>
    <t>units/ hour</t>
  </si>
  <si>
    <t>working hours/day</t>
  </si>
  <si>
    <t>hours</t>
  </si>
  <si>
    <t>days</t>
  </si>
  <si>
    <t xml:space="preserve">total units produced per month </t>
  </si>
  <si>
    <t>per metal worker</t>
  </si>
  <si>
    <t>salary per unit</t>
  </si>
  <si>
    <t>benefits</t>
  </si>
  <si>
    <t>assumption</t>
  </si>
  <si>
    <t>Raw Materials Y0</t>
  </si>
  <si>
    <t>Raw Materials Y1</t>
  </si>
  <si>
    <t>from BOM</t>
  </si>
  <si>
    <t>Raw Materials Y2</t>
  </si>
  <si>
    <t>Raw Materials Y3</t>
  </si>
  <si>
    <t>Raw Materials Y4</t>
  </si>
  <si>
    <t>Raw Materials Y5</t>
  </si>
  <si>
    <t>Y0 Production Costs</t>
  </si>
  <si>
    <t>App Development</t>
  </si>
  <si>
    <t>Mechanical Development</t>
  </si>
  <si>
    <t>Total Production Cost</t>
  </si>
  <si>
    <t>COGS from 0-5</t>
  </si>
  <si>
    <t>Variable Costs direct to labor</t>
  </si>
  <si>
    <t xml:space="preserve">Assembly Worker </t>
  </si>
  <si>
    <t>Manufacturing Worker</t>
  </si>
  <si>
    <t>Total Direct Labor Costs</t>
  </si>
  <si>
    <t>Raw Material/Unit</t>
  </si>
  <si>
    <t>Total Direct Material Costs</t>
  </si>
  <si>
    <t>Total Variable Cost</t>
  </si>
  <si>
    <t>Total Variable Cost Per Unit</t>
  </si>
  <si>
    <t>Total Outbound Freight</t>
  </si>
  <si>
    <t>Total Variable Cost + Freight</t>
  </si>
  <si>
    <t>Overhead</t>
  </si>
  <si>
    <t>Floor manager</t>
  </si>
  <si>
    <t xml:space="preserve">Mechanical Engineer </t>
  </si>
  <si>
    <t>Rent</t>
  </si>
  <si>
    <t>Total MOH</t>
  </si>
  <si>
    <t>Total COGS</t>
  </si>
  <si>
    <t>COGS per unit</t>
  </si>
  <si>
    <t>RENT</t>
  </si>
  <si>
    <t>VARIABLE COST PER UNIT</t>
  </si>
  <si>
    <t>Month</t>
  </si>
  <si>
    <t>JANUARY</t>
  </si>
  <si>
    <t>FEBRUARY</t>
  </si>
  <si>
    <t>MARCH</t>
  </si>
  <si>
    <t>APRIL</t>
  </si>
  <si>
    <t>JUNE</t>
  </si>
  <si>
    <t>AUGUST</t>
  </si>
  <si>
    <t>SEPTEMBER</t>
  </si>
  <si>
    <t>OCTOBER</t>
  </si>
  <si>
    <t>NOVEMBER</t>
  </si>
  <si>
    <t>DECEMBER</t>
  </si>
  <si>
    <t>TOTALS</t>
  </si>
  <si>
    <t>INSURANCE TABLE</t>
  </si>
  <si>
    <t xml:space="preserve">Month </t>
  </si>
  <si>
    <t>20213111618177303708</t>
  </si>
  <si>
    <t>3FbGFGbFuvuauAuG</t>
  </si>
  <si>
    <t>dBQl</t>
  </si>
  <si>
    <t>Total Annual Unit Sales Year 1:</t>
  </si>
  <si>
    <t xml:space="preserve">Channel </t>
  </si>
  <si>
    <t>Period of Project</t>
  </si>
  <si>
    <t>Channel Partner</t>
  </si>
  <si>
    <t>% of Annual Sales</t>
  </si>
  <si>
    <t>Annual # Units</t>
  </si>
  <si>
    <t>DC's or Independent Retail Stores to be Included in your Channels</t>
  </si>
  <si>
    <t>Number of Shipments Annually</t>
  </si>
  <si>
    <t>Quarterly Quantity of Shipment to Each DC or Biannual Quantity of Shipments to Independent Retail Stores</t>
  </si>
  <si>
    <t>Transportation Cost per Unit (based on cubic volume, weight &amp; distance)</t>
  </si>
  <si>
    <t>Quarterly or Biannual Shipping Cost per Channel</t>
  </si>
  <si>
    <t>Total Annual Shipping Cost per Channel</t>
  </si>
  <si>
    <t>Total Annual Shipping Cost</t>
  </si>
  <si>
    <t>Online</t>
  </si>
  <si>
    <t>Independent Retail Stores</t>
  </si>
  <si>
    <t>Ciao Bow Wow!, TailWaggers, Bentley's Pet Stuff, Dog Bar</t>
  </si>
  <si>
    <t>Grand Totals</t>
  </si>
  <si>
    <t>% of the revenue</t>
  </si>
  <si>
    <t>Total Annual Unit Sales Year 2:</t>
  </si>
  <si>
    <t>Total Annual Unit Sales Year 3:</t>
  </si>
  <si>
    <t>Chains</t>
  </si>
  <si>
    <t>Y3 - Y5</t>
  </si>
  <si>
    <t>Petsmart</t>
  </si>
  <si>
    <t>Total Annual Unit Sales Year 4:</t>
  </si>
  <si>
    <t>Mass Merchants</t>
  </si>
  <si>
    <t>Y4 - Y5</t>
  </si>
  <si>
    <t>Target</t>
  </si>
  <si>
    <t>Total Annual Unit Sales Year 5:</t>
  </si>
  <si>
    <t>Distribution Centers</t>
  </si>
  <si>
    <t>Location of DC</t>
  </si>
  <si>
    <t>Zip Code</t>
  </si>
  <si>
    <t>USPS Zone</t>
  </si>
  <si>
    <t>Shipping Cost/Unit (From Kansas City Missouri)</t>
  </si>
  <si>
    <t>Shipping Cost per Unit with Bulk Discount via USPS</t>
  </si>
  <si>
    <t>Average per Channel</t>
  </si>
  <si>
    <t xml:space="preserve">Online </t>
  </si>
  <si>
    <t>Tennesse</t>
  </si>
  <si>
    <t>East</t>
  </si>
  <si>
    <t>California</t>
  </si>
  <si>
    <t>West</t>
  </si>
  <si>
    <t>Kentucky</t>
  </si>
  <si>
    <t>Independent Retailers</t>
  </si>
  <si>
    <t>Ciao Bow Wow!</t>
  </si>
  <si>
    <t>New York</t>
  </si>
  <si>
    <t xml:space="preserve">Massachusetts </t>
  </si>
  <si>
    <t>TailWaggers</t>
  </si>
  <si>
    <t>Illinois</t>
  </si>
  <si>
    <t>Bentley's Pet Stuff</t>
  </si>
  <si>
    <t>Chicago</t>
  </si>
  <si>
    <t>Colorado</t>
  </si>
  <si>
    <t>Dog Bar</t>
  </si>
  <si>
    <t>Florida</t>
  </si>
  <si>
    <t>Pennsylvania</t>
  </si>
  <si>
    <t>Vermont</t>
  </si>
  <si>
    <t>Conneticut</t>
  </si>
  <si>
    <t>Texas</t>
  </si>
  <si>
    <t>Ohio</t>
  </si>
  <si>
    <t>discount</t>
  </si>
  <si>
    <t>https://goshippo.com/shippo-the-best-multi-carrier-shipping-software-for-e-commerce-test/</t>
  </si>
  <si>
    <t>Size &amp; Weight of Freight</t>
  </si>
  <si>
    <t xml:space="preserve">5' 5' 7' </t>
  </si>
  <si>
    <t>ball</t>
  </si>
  <si>
    <t>3' 3' 3'</t>
  </si>
  <si>
    <t>camera</t>
  </si>
  <si>
    <t>1.97' 1.97'  2.17'</t>
  </si>
  <si>
    <t>Per Unit</t>
  </si>
  <si>
    <t>Total Weight (lb)</t>
  </si>
  <si>
    <t>Total Dimensions (cubic feet)</t>
  </si>
  <si>
    <t>Mass merchants</t>
  </si>
  <si>
    <t>IS Equipment</t>
  </si>
  <si>
    <t>Laptops</t>
  </si>
  <si>
    <t>Desktops</t>
  </si>
  <si>
    <t>High speed printer</t>
  </si>
  <si>
    <t>Networking Equipment</t>
  </si>
  <si>
    <t>Mfg Machines</t>
  </si>
  <si>
    <t>Forklifts x 2</t>
  </si>
  <si>
    <t>Semi trucks x 2</t>
  </si>
  <si>
    <t>Add equip for metal workers</t>
  </si>
  <si>
    <t>Total CAPEX</t>
  </si>
  <si>
    <t>Gross Capital</t>
  </si>
  <si>
    <t>Depreciation Schedule</t>
  </si>
  <si>
    <t>Depreciation of Initial PPE</t>
  </si>
  <si>
    <t>Value</t>
  </si>
  <si>
    <t>Depreciation (Y0 items)</t>
  </si>
  <si>
    <t>Depreciation of New PPE</t>
  </si>
  <si>
    <t>Depreciation (Y3 items)</t>
  </si>
  <si>
    <t>Total Depreciation</t>
  </si>
  <si>
    <t>Book Value of Assets at Y5</t>
  </si>
  <si>
    <t>Book Value</t>
  </si>
  <si>
    <t>Finance Assumptions</t>
  </si>
  <si>
    <t>Cash Flow</t>
  </si>
  <si>
    <t>Receivables/Payables</t>
  </si>
  <si>
    <t>Segmentation</t>
  </si>
  <si>
    <t>Bases Model</t>
  </si>
  <si>
    <t>Price to Channel</t>
  </si>
  <si>
    <t>IMC Schedules</t>
  </si>
  <si>
    <t>ACV Summary</t>
  </si>
  <si>
    <t>BOM/EOQ</t>
  </si>
  <si>
    <t>PERT Model for Demand &amp; Lead</t>
  </si>
  <si>
    <t>Manufacturing Assumptions</t>
  </si>
  <si>
    <t>Costs Pie Charts</t>
  </si>
  <si>
    <t xml:space="preserve">COGS </t>
  </si>
  <si>
    <t>Depreciation</t>
  </si>
  <si>
    <t>Total (Yield = 87%)</t>
  </si>
  <si>
    <t>Total (Yield = 96%)</t>
  </si>
  <si>
    <t>Total (Yield = 97%)</t>
  </si>
  <si>
    <t>Total (Yield = 98%)</t>
  </si>
  <si>
    <t>EOQ</t>
  </si>
  <si>
    <t>FULL-Time Assembly Workers (1,1,2,5,6,7)</t>
  </si>
  <si>
    <t>Decline</t>
  </si>
  <si>
    <t>Maturity</t>
  </si>
  <si>
    <t>TYPE IN YOUR SCENARIO HERE: Base Case</t>
  </si>
  <si>
    <t>Base Case</t>
  </si>
  <si>
    <t>Purchase Intent vs. Expected Price</t>
  </si>
  <si>
    <t>Count of willing price</t>
  </si>
  <si>
    <t>Column Labels</t>
  </si>
  <si>
    <t>Pasted Data</t>
  </si>
  <si>
    <t>Row Labels</t>
  </si>
  <si>
    <t>Definitely Not</t>
  </si>
  <si>
    <t>Probably Not</t>
  </si>
  <si>
    <t>Not Sure</t>
  </si>
  <si>
    <t>Probably Buy</t>
  </si>
  <si>
    <t>Definitely Buy</t>
  </si>
  <si>
    <t>Grand Total</t>
  </si>
  <si>
    <t>Prob Buy</t>
  </si>
  <si>
    <t>Def Buy</t>
  </si>
  <si>
    <t>195.50</t>
  </si>
  <si>
    <t>259.50</t>
  </si>
  <si>
    <t>323.50</t>
  </si>
  <si>
    <t>387.50</t>
  </si>
  <si>
    <t>451.50</t>
  </si>
  <si>
    <t>Sample</t>
  </si>
  <si>
    <t>Population</t>
  </si>
  <si>
    <t>Price</t>
  </si>
  <si>
    <t>Adjusted PB</t>
  </si>
  <si>
    <t>Adjusted DB</t>
  </si>
  <si>
    <t>PB * .3</t>
  </si>
  <si>
    <t>DB * .8</t>
  </si>
  <si>
    <t>Sum Across</t>
  </si>
  <si>
    <t>Cumulative PI</t>
  </si>
  <si>
    <t>Quantity</t>
  </si>
  <si>
    <t>Revenue</t>
  </si>
  <si>
    <t>Demand Curve Instructions</t>
  </si>
  <si>
    <t>RM Price</t>
  </si>
  <si>
    <t>Total Revenue</t>
  </si>
  <si>
    <t xml:space="preserve">Retail Environment of the Pet Accessories Industry </t>
  </si>
  <si>
    <t>Pet Accessories (e.g. clothes, carriers, toys)</t>
  </si>
  <si>
    <t>% of Industry</t>
  </si>
  <si>
    <t>Retail (billions of $)</t>
  </si>
  <si>
    <t>Chain Retailers</t>
  </si>
  <si>
    <t>Other</t>
  </si>
  <si>
    <t>Independent Retailer</t>
  </si>
  <si>
    <t>Retail Categories &amp; Sales Revenue</t>
  </si>
  <si>
    <t>Sales Revenue (Billion)</t>
  </si>
  <si>
    <t>Walmart</t>
  </si>
  <si>
    <t xml:space="preserve">Target </t>
  </si>
  <si>
    <t>Macy's</t>
  </si>
  <si>
    <t>PetSmart</t>
  </si>
  <si>
    <t>Chewy</t>
  </si>
  <si>
    <t>PetCo</t>
  </si>
  <si>
    <t>Independent Stores</t>
  </si>
  <si>
    <t>Ciao Bow Wow! (North Andover, MA)</t>
  </si>
  <si>
    <t>TailWaggers (North Hollywood, CA) </t>
  </si>
  <si>
    <t>Bentley’s Pet Stuff (Chicago, IL)</t>
  </si>
  <si>
    <t>Dog Bar (Miami, FL)</t>
  </si>
  <si>
    <t>Segment Size: 16,570,000 households</t>
  </si>
  <si>
    <t>Segment Size: 16,805,761 households</t>
  </si>
  <si>
    <t>Segment Size: 17,039,557 households</t>
  </si>
  <si>
    <t>Segment Size: 17,240,042 households</t>
  </si>
  <si>
    <t>Segment Size: 17,419,369 households</t>
  </si>
  <si>
    <t>CSR Initiative 1: $1 to No Kill Shelters for Every Purchase</t>
  </si>
  <si>
    <t>CSR INITIATIVE</t>
  </si>
  <si>
    <t>IMC SCHEDULE EXPENSES AS % OF SALES</t>
  </si>
  <si>
    <t>TOTAL IMC SCHEDULE COST</t>
  </si>
  <si>
    <t>IMC EXPENSES AS A % OF SALES</t>
  </si>
  <si>
    <t>AGE</t>
  </si>
  <si>
    <t>20-30</t>
  </si>
  <si>
    <t>31-40</t>
  </si>
  <si>
    <t>41-50</t>
  </si>
  <si>
    <t>51-60</t>
  </si>
  <si>
    <t>61-70</t>
  </si>
  <si>
    <t>164-227</t>
  </si>
  <si>
    <t>228-291</t>
  </si>
  <si>
    <t>292-355</t>
  </si>
  <si>
    <t>356-419</t>
  </si>
  <si>
    <t>420-483</t>
  </si>
  <si>
    <t>SIZE OF DOG</t>
  </si>
  <si>
    <t>Medium</t>
  </si>
  <si>
    <t>Large</t>
  </si>
  <si>
    <t>All</t>
  </si>
  <si>
    <t>Based on the fact that our product is very tech heavy and we do not have a working prototype, people may feel reluctant to want to buy our product - If we have working demos in stores, purchase intent could increase</t>
  </si>
  <si>
    <t>The purchase intent for the highest income bracket is surprisingly  low and the purchase intent for the lowest income bracket is surprisingly high - Income does not contribute significantly to purchase intent</t>
  </si>
  <si>
    <t>Most respondents were from the highest income bracket</t>
  </si>
  <si>
    <t>WILLINGNESS TO INVEST MORE ($)</t>
  </si>
  <si>
    <t xml:space="preserve">Changes: Online awareness increases by 1% / Word of Mouth applied / Carry Over applied </t>
  </si>
  <si>
    <t>Changes: Online awareness increases by 3% / Word of Mouth applied / Carry Over applied / Magazine Ads applied (1 full page, 3 half page) / Creative Marketing Idea applied</t>
  </si>
  <si>
    <t>Changes: Online awareness increases by 1% / Word of Mouth applied / Carry Over applied / Magazine Ads applied (2 full page, 2 half page) / 1 less Trade Show / 1 less Trade Magazine</t>
  </si>
  <si>
    <t>Changes: Online awareness increases by 1% / Word of Mouth applied / Carry Over applied / Magazine Ads applied (4 full page) / 1 less Trade Show</t>
  </si>
  <si>
    <t xml:space="preserve"> Introduction</t>
  </si>
  <si>
    <t>Capacity Planning</t>
  </si>
  <si>
    <t>Production per Month: Regular Output Capacity</t>
  </si>
  <si>
    <t>Demand Forecast</t>
  </si>
  <si>
    <t>Regular</t>
  </si>
  <si>
    <t>Subcontract</t>
  </si>
  <si>
    <t>Beginning</t>
  </si>
  <si>
    <t>Ending</t>
  </si>
  <si>
    <t>Average</t>
  </si>
  <si>
    <t>Backlog</t>
  </si>
  <si>
    <t>Ouput</t>
  </si>
  <si>
    <t>4 balls per worker, 8 workers</t>
  </si>
  <si>
    <t>Labor Rate / Hour</t>
  </si>
  <si>
    <t>Overtime Rate / Hour</t>
  </si>
  <si>
    <t>Year 1 CHASE Plan</t>
  </si>
  <si>
    <t>Year 1 LEVEL Plan</t>
  </si>
  <si>
    <t>Year 5 CHASE Plan</t>
  </si>
  <si>
    <t>Year 5 LEVEL Plan</t>
  </si>
  <si>
    <t>4 balls per hour, 2 assembly workers</t>
  </si>
  <si>
    <t>Aggregate Chase &amp; Level Plans</t>
  </si>
  <si>
    <t>Total Inbound Freight</t>
  </si>
  <si>
    <t>Purchase Intent &amp; Price</t>
  </si>
  <si>
    <t>IMC Summary</t>
  </si>
  <si>
    <t>Manufacturing Cycle Time (Bottleneck)</t>
  </si>
  <si>
    <t>Worker Output Units (Y0- Y5)</t>
  </si>
  <si>
    <t>Regular Metal Worker Capacity &amp; Cost + Benefit</t>
  </si>
  <si>
    <t>Direct Materials Cost/Unit</t>
  </si>
  <si>
    <t>YEARLY COST</t>
  </si>
  <si>
    <t>15min</t>
  </si>
  <si>
    <t>Part-time Metal Worker Capacity &amp; Cost</t>
  </si>
  <si>
    <t>Input parameters</t>
  </si>
  <si>
    <t>As the product price increases, the purchase intent decreases. The purchase intent drastically decreses once the price increases from $200 to $250; however after the price hits $400, the purchase intent is little affected.</t>
  </si>
  <si>
    <t xml:space="preserve">Based on our demand curve, we chose $300 retail price because our product demand is sensitive to the retail price. Additionally, because our COGS is so high, we must sell the product at a higher retail price. $300 retail price gives us a balance to maintain our revenue. </t>
  </si>
  <si>
    <t xml:space="preserve">Mass Merchant asks the manufacturer a higher markups comparing to the other channels; Independent retailers ask for a higher margin. </t>
  </si>
  <si>
    <t>The largest retail channel for pet accessories is online, which takes about 26% of the industry.</t>
  </si>
  <si>
    <t>In the first two years, we will generate less awareness comparing to the years from Year 3; There will be a jump in awareness from 9.27% to 21.15% due to magazine ads, online tactics and new creative marketing events. This increases the total pull from year 2 to year 3 drastically change our demand.</t>
  </si>
  <si>
    <t>Segment Size:16,570,000 households</t>
  </si>
  <si>
    <t>As our demand increases due to the increase awareness, our IMC expenses % of sales drops.</t>
  </si>
  <si>
    <t>*Sensitivity analysis conducted on parameters highlighted in red</t>
  </si>
  <si>
    <t>Quantitative Risk Matrix</t>
  </si>
  <si>
    <t>Qualitative Risk Matrix</t>
  </si>
  <si>
    <t>Low</t>
  </si>
  <si>
    <t>Outbound Freight Costs</t>
  </si>
  <si>
    <t>High</t>
  </si>
  <si>
    <t>Hourly Rate For Assembly Workers</t>
  </si>
  <si>
    <t>Marketing Expenses</t>
  </si>
  <si>
    <t>Raw Material Discount Rate</t>
  </si>
  <si>
    <t>Average Manufacturing Price</t>
  </si>
  <si>
    <t>MOH Expense</t>
  </si>
  <si>
    <t>Fixed Administrative Expenses</t>
  </si>
  <si>
    <t>Direct Material Cost/Unit</t>
  </si>
  <si>
    <t>Purchase Intent</t>
  </si>
  <si>
    <t>Segment Size</t>
  </si>
  <si>
    <t>Total Units Demand</t>
  </si>
  <si>
    <t>Average Retail Price</t>
  </si>
  <si>
    <t>Breakeven Change x Elasticity (Check)</t>
  </si>
  <si>
    <t>Probability</t>
  </si>
  <si>
    <t>Elasticities (% change due to 1% increase)</t>
  </si>
  <si>
    <t>Change in NPV with 1% increase</t>
  </si>
  <si>
    <t>NPV with 1% increase</t>
  </si>
  <si>
    <t>Margin of Safety %</t>
  </si>
  <si>
    <t>Breakeven % Change</t>
  </si>
  <si>
    <t>Breakeven Value</t>
  </si>
  <si>
    <t>Starting Value (Base case)</t>
  </si>
  <si>
    <t>Function</t>
  </si>
  <si>
    <t>NPV</t>
  </si>
  <si>
    <t>97.5th percentile</t>
  </si>
  <si>
    <t>2.5th percentile</t>
  </si>
  <si>
    <t>All Variables</t>
  </si>
  <si>
    <t>Direct Material</t>
  </si>
  <si>
    <t>For Tornado Chart</t>
  </si>
  <si>
    <t>%NPV &lt; 0</t>
  </si>
  <si>
    <t>VaR@5%</t>
  </si>
  <si>
    <t>75th percentile</t>
  </si>
  <si>
    <t>25th percentile</t>
  </si>
  <si>
    <t>Standard Deviation</t>
  </si>
  <si>
    <t>Median</t>
  </si>
  <si>
    <t>Triangular</t>
  </si>
  <si>
    <t>Normal</t>
  </si>
  <si>
    <t>Type of Distribution</t>
  </si>
  <si>
    <t>Parameters for Simulation</t>
  </si>
  <si>
    <t>Input Graph</t>
  </si>
  <si>
    <t>https://www.itl.nist.gov/div898/handbook/mpc/section5/mpc541.htm</t>
  </si>
  <si>
    <t>Replication</t>
  </si>
  <si>
    <t>Input Dist.</t>
  </si>
  <si>
    <t>*Used source material to find standard deviation of triangular distribution</t>
  </si>
  <si>
    <t>NPV in Cash Flow Statement</t>
  </si>
  <si>
    <t>% of dog owning US households in our segment</t>
  </si>
  <si>
    <t>97.5 percentile</t>
  </si>
  <si>
    <t>Input to Cell G4 in MK Bases segment size</t>
  </si>
  <si>
    <t>Input</t>
  </si>
  <si>
    <t>% of willingness to invest in more expensive dog products can vary by 20%</t>
  </si>
  <si>
    <t>% of owners of Medium &amp; Large Dogs can vary by 5%</t>
  </si>
  <si>
    <t>Formula</t>
  </si>
  <si>
    <t>% of Millenial &amp; Gen X dog owners can vary by 5%</t>
  </si>
  <si>
    <t>Parameter2 (Std Dev)</t>
  </si>
  <si>
    <t>Number of dog owning households in the US can vary by 10%</t>
  </si>
  <si>
    <t>Base value</t>
  </si>
  <si>
    <t>Parameter1 (Mean)</t>
  </si>
  <si>
    <t>Max</t>
  </si>
  <si>
    <t>Base</t>
  </si>
  <si>
    <t>Min</t>
  </si>
  <si>
    <t>Distribution Type:</t>
  </si>
  <si>
    <t>Determining Standard Deviation for Simulation</t>
  </si>
  <si>
    <t>Parameter to vary:</t>
  </si>
  <si>
    <t>Summary Statistics</t>
  </si>
  <si>
    <t>SIMULATION ONE</t>
  </si>
  <si>
    <t>Direct Material Cost/Unit Variation</t>
  </si>
  <si>
    <t>https://www.made-in-china.com/productdirectory.do?word=Polyethylene+Housing&amp;file=&amp;subaction=hunt&amp;style=b&amp;mode=and&amp;code=0&amp;comProvince=nolimit&amp;order=0&amp;isOpenCorrection=1</t>
  </si>
  <si>
    <t>High and low prices from links</t>
  </si>
  <si>
    <t>https://www.made-in-china.com/productdirectory.do?word=Stability+Ball+Bearing&amp;file=&amp;subaction=hunt&amp;style=b&amp;mode=and&amp;code=0&amp;comProvince=nolimit&amp;order=0&amp;isOpenCorrection=1</t>
  </si>
  <si>
    <t>https://zhongdamotor.en.made-in-china.com/?gclid=Cj0KCQjwvYSEBhDjARIsAJMn0lhuipoS-QtIh64Scsv5eOctA9InCEjBUSObEQBr8pYvbqwfAEYDITUaArIVEALw_wcB</t>
  </si>
  <si>
    <t>https://store.miscospeakers.com/1-2-x-2-8-inch-wide-range-speaker-93010</t>
  </si>
  <si>
    <t>https://fbelemould.en.made-in-china.com/product-group/weoJvlnYZphN/speaker-catalog-1.html</t>
  </si>
  <si>
    <t>https://www.coilcraft.com/en-us/products/power/shielded-inductors/molded-inductor/#/</t>
  </si>
  <si>
    <t>https://www.alibaba.com/product-detail/Small-Wheel-Metal-Custom-High-Performance_1600183738720.html?spm=a2700.galleryofferlist.normal_offer.d_title.719c4101gV1w22&amp;s=p</t>
  </si>
  <si>
    <t>https://tinkersphere.com/motors-wheels/1090-3mm-axle-shaft.html</t>
  </si>
  <si>
    <t>https://www.made-in-china.com/productdirectory.do?word=tiny+Axle&amp;file=&amp;subaction=hunt&amp;style=b&amp;mode=and&amp;code=0&amp;comProvince=nolimit&amp;order=0&amp;isOpenCorrection=1</t>
  </si>
  <si>
    <t>https://www.electromaker.io/shop/product/lithium-ion-polymer-battery-with-short-cable-37v-350mah</t>
  </si>
  <si>
    <t>https://www.alibaba.com/pla/UL2054-CB-KC-Hot-sale-lipo_62486618824.html?mark=google_shopping&amp;biz=pla&amp;pcy=US&amp;searchText=lithium+ion+batteries</t>
  </si>
  <si>
    <t>https://www.google.com/search?q=copper+heat+sink&amp;rlz=1C1CHBF_enUS862US863&amp;biw=1536&amp;bih=722&amp;tbm=shop&amp;sxsrf=ALeKk03hNIh0K6hBX6GgVq052wz3WNwj-w%3A1619132585463&amp;ei=qQCCYPneG9SB9u8P38WI6Ao&amp;oq=Copper+Heat+Sink&amp;gs_lcp=Cgtwcm9kdWN0cy1jYxABGAAyAggAMgIIADIGCAAQChAYMgQIABAYMgQIABAYMgQIABAYMgQIABAYMgQIABAYMgQIABAYMgQIABAYULXwCVi18Alg1_gJaABwAHgAgAGHAYgBhwGSAQMwLjGYAQCgAQKgAQHAAQE&amp;sclient=products-cc#spd=7296609860370013658</t>
  </si>
  <si>
    <t>https://www.google.com/search?q=copper+heat+sink&amp;rlz=1C1CHBF_enUS862US863&amp;biw=1536&amp;bih=722&amp;tbm=shop&amp;sxsrf=ALeKk03hNIh0K6hBX6GgVq052wz3WNwj-w%3A1619132585463&amp;ei=qQCCYPneG9SB9u8P38WI6Ao&amp;oq=Copper+Heat+Sink&amp;gs_lcp=Cgtwcm9kdWN0cy1jYxABGAAyAggAMgIIADIGCAAQChAYMgQIABAYMgQIABAYMgQIABAYMgQIABAYMgQIABAYMgQIABAYMgQIABAYULXwCVi18Alg1_gJaABwAHgAgAGHAYgBhwGSAQMwLjGYAQCgAQKgAQHAAQE&amp;sclient=products-cc#spd=3196120597471704260</t>
  </si>
  <si>
    <t>Random Number</t>
  </si>
  <si>
    <t>https://www.digikey.com/en/products/detail/stmicro/M24SR02-YMN6T%2F2/4693616?utm_adgroup=RF%2FIF%20and%20RFID&amp;utm_source=google&amp;utm_medium=cpc&amp;utm_campaign=Shopping_Supplier_STMicroelectronics_0497_Co-op&amp;utm_term=&amp;utm_content=RF%2FIF%20and%20RFID&amp;gclid=Cj0KCQjwvYSEBhDjARIsAJMn0lhm9sw3cFELK0JPQhjabwZ9XqRyn6XEd_EThHstyLUGZMOWBpAdomgaAqVqEALw_wcB</t>
  </si>
  <si>
    <t>https://www.arrow.com/en/products/m24512-dfdw6tp/stmicroelectronics</t>
  </si>
  <si>
    <t>https://www.elecbee.com/en/4ghz58ghz-wifi-antenna/2087-external-wifi-antenna-3dbi-rubber-duck-wireless-antenna.html?mark=google_shopping&amp;seo=1&amp;utm_term=&amp;utm_campaign=shopping_%E5%B1%95%E7%A4%BA%E7%BE%8E%E5%9B%BD2021/03/05&amp;utm_source=adwords&amp;utm_medium=ppc&amp;hsa_acc=9958698819&amp;hsa_cam=12474875514&amp;hsa_grp=119136185512&amp;hsa_ad=502712486143&amp;hsa_src=g&amp;hsa_tgt=pla-296128378483&amp;hsa_kw=&amp;hsa_mt=&amp;hsa_net=adwords&amp;hsa_ver=3&amp;gclid=Cj0KCQjwvYSEBhDjARIsAJMn0ljaxUZHHeogT2mEv7uD2hRiq1TduEbeX5YS7ovufXOazkvKaJ7DCyoaAvSnEALw_wcB</t>
  </si>
  <si>
    <t>https://www.walmart.com/ip/STMicroelectronics-STM32-F3-Series-Discovery-kit-with-STM32F303VC-MCU/135285454?wmlspartner=wlpa&amp;selectedSellerId=101025561</t>
  </si>
  <si>
    <t>https://www.newark.com/stmicroelectronics/stm32l053r8t6/product-range-stm32-family-stm32l0/dp/28AC3380?gclid=Cj0KCQjwvYSEBhDjARIsAJMn0lhr4FfZiX7QWuVtE48Ks_Pmgveo_YBIXHao_a0YDzEEpIDiTlp1AmQaAk9JEALw_wcB&amp;mckv=sQC90ZXjs_dc|pcrid|492622077332|plid||kword||match||slid||product|28AC3380|pgrid|108905520410|ptaid|pla-902764019999|&amp;CMP=KNC-GUSA-GEN-Shopping-NewStructure-Gen-Semiconductors-ICs</t>
  </si>
  <si>
    <t xml:space="preserve">Input to Cell H41 OM COGS </t>
  </si>
  <si>
    <t>https://www.alibaba.com/product-detail/Shenzhen-OEM-Electronic-PCB-PCBA-Manufacturer_60778134162.html?spm=a2700.galleryofferlist.normal_offer.d_title.1a141c23023cVv</t>
  </si>
  <si>
    <t>https://www.alibaba.com/product-detail/NEW-ORIGINAL-China-PCB-Manufacturer-One_62220005338.html?spm=a2700.galleryofferlist.topad_classic.d_title.1a141c23023cVv</t>
  </si>
  <si>
    <t>https://www.alibaba.com/product-detail/Module-Accelerometer-Module-Price-Nrf52832-Bluetooth_1600224008807.html?spm=a2700.galleryofferlist.normal_offer.3.2eb65ce2wy4cfM&amp;s=p</t>
  </si>
  <si>
    <t>https://www.alibaba.com/product-detail/Module-Esp8266-Module-Ai-Thinker-Industrial_62375090444.html?spm=a2700.galleryofferlist.normal_offer.3.2eb65ce2wy4cfM&amp;s=p</t>
  </si>
  <si>
    <t>Parameter3 (Max)</t>
  </si>
  <si>
    <t>https://www.alibaba.com/product-detail/Inductors-Inductor-Coil-Inductors-Air-Coil_279508874.html?spm=a2700.galleryofferlist.topad_creative.3.5686f3c12ks5PX</t>
  </si>
  <si>
    <t>High and low prices from link</t>
  </si>
  <si>
    <t>Parameter2 (Most Likely)</t>
  </si>
  <si>
    <t>https://www.alibaba.com/product-detail/Cable-C-Usb-Cables-Usb-A_1600176533549.html?spm=a2700.galleryofferlist.normal_offer.d_image.fc1e5404TrM4GV&amp;s=p</t>
  </si>
  <si>
    <t>https://www.amazon.com/Anker-Charging-MacBook-Galaxy-Charger/dp/B088NRLMPV/ref=sr_1_2_sspa?dchild=1&amp;keywords=usb+c+cable&amp;qid=1619132079&amp;sr=8-2-spons&amp;psc=1&amp;spLa=ZW5jcnlwdGVkUXVhbGlmaWVyPUFaWUw4Qk1HREExME4mZW5jcnlwdGVkSWQ9QTA0MDcxMjgzSldVRjFPMUMzQlJHJmVuY3J5cHRlZEFkSWQ9QTAwMzQxNjVaNkRXTURSTVVNVEImd2lkZ2V0TmFtZT1zcF9hdGYmYWN0aW9uPWNsaWNrUmVkaXJlY3QmZG9Ob3RMb2dDbGljaz10cnVl</t>
  </si>
  <si>
    <t>Parameter1 (Min)</t>
  </si>
  <si>
    <t>https://www.waste360.com/business/recycled-hdpe-prices-climb-while-pet-pp-prices-fall</t>
  </si>
  <si>
    <t>High and low prices derived from link. Values multiplied by 8 pounds</t>
  </si>
  <si>
    <t>https://www.amazon.com/SKTE-Function-Monitoring-Real-time-Streaming/dp/B08Y24XKPW/ref=sr_1_2_sspa?dchild=1&amp;keywords=pet+surveillance+camera&amp;qid=1619131733&amp;refinements=p_36%3A1253503011&amp;rnid=386442011&amp;s=electronics&amp;sr=1-2-spons&amp;psc=1&amp;spLa=ZW5jcnlwdGVkUXVhbGlmaWVyPUEyQVJTNEFNUlNSUDAxJmVuY3J5cHRlZElkPUEwMDY0NDg4M0JPNTdMWTFVT0dBWiZlbmNyeXB0ZWRBZElkPUEwMjUwODk4M1FESjkwVlAxSFpHUyZ3aWRnZXROYW1lPXNwX2F0ZiZhY3Rpb249Y2xpY2tSZWRpcmVjdCZkb05vdExvZ0NsaWNrPXRydWU=</t>
  </si>
  <si>
    <t>High price derived from supplier interview, Low price from link</t>
  </si>
  <si>
    <t>Links</t>
  </si>
  <si>
    <t>Note</t>
  </si>
  <si>
    <t>SIMULATION TWO</t>
  </si>
  <si>
    <t>Note: There is no input graph since the inputs are the four variables being changed simultaneously</t>
  </si>
  <si>
    <t>SIMULATION Three</t>
  </si>
  <si>
    <t>Sensitivity</t>
  </si>
  <si>
    <t>Sensitivities</t>
  </si>
  <si>
    <t>Overtime Rate/Unit</t>
  </si>
  <si>
    <t>Labor Rate/Unit</t>
  </si>
  <si>
    <t>Overtime Cost/Unit</t>
  </si>
  <si>
    <t>Labor Cost/Unit</t>
  </si>
  <si>
    <t>QM</t>
  </si>
  <si>
    <t>Influence Chart</t>
  </si>
  <si>
    <t>Simulation Summary</t>
  </si>
  <si>
    <t>Simulation 1</t>
  </si>
  <si>
    <t>Simulation 2</t>
  </si>
  <si>
    <t>All Variables Simulation</t>
  </si>
  <si>
    <t>27705 Maple Road, Jasper County, MO 64834</t>
  </si>
  <si>
    <t>Manufacturing Facility Location Should be Near:</t>
  </si>
  <si>
    <t>Los Angeles</t>
  </si>
  <si>
    <t>Parts Supplier Ports</t>
  </si>
  <si>
    <t>Delaware</t>
  </si>
  <si>
    <t>New Process Fibre</t>
  </si>
  <si>
    <t>Polyethylene Supplier</t>
  </si>
  <si>
    <t>AEI Components</t>
  </si>
  <si>
    <t>Camera Supplier</t>
  </si>
  <si>
    <t>Massachussets</t>
  </si>
  <si>
    <t>Ciao Bow Wow</t>
  </si>
  <si>
    <t>Qty of Product</t>
  </si>
  <si>
    <t>Total Units/Channel</t>
  </si>
  <si>
    <t>X Co-ordinate (Longitude)</t>
  </si>
  <si>
    <t>Y Co-ordinate (Latitude)</t>
  </si>
  <si>
    <t>Center of Gravity Method</t>
  </si>
  <si>
    <t>Closest Major City:</t>
  </si>
  <si>
    <t>Kansas City, MO</t>
  </si>
  <si>
    <t>Sensitivity Analysis</t>
  </si>
  <si>
    <t>Scheduling/Planning</t>
  </si>
  <si>
    <t>Facility Location Planning</t>
  </si>
  <si>
    <t>Factor Rating Method</t>
  </si>
  <si>
    <t>Proximity to Suppliers</t>
  </si>
  <si>
    <t>Weighted Scores</t>
  </si>
  <si>
    <t>Columbus, IN</t>
  </si>
  <si>
    <t>San Jose, CA</t>
  </si>
  <si>
    <t>Reno, NV</t>
  </si>
  <si>
    <t>Rocky Mount, NC</t>
  </si>
  <si>
    <t>Min Wage</t>
  </si>
  <si>
    <t>LA</t>
  </si>
  <si>
    <t>Proximity to Supplier (Miles)</t>
  </si>
  <si>
    <t>Average Rent</t>
  </si>
  <si>
    <t>Distribution Cost</t>
  </si>
  <si>
    <t>Distance from Center of the Country</t>
  </si>
  <si>
    <t>Inbound Freight Costs</t>
  </si>
  <si>
    <t>Calculations for Factor Rating</t>
  </si>
  <si>
    <t>Average Proximity to Supplier</t>
  </si>
  <si>
    <t>Location</t>
  </si>
  <si>
    <t>Aggregate Hybrid Plan</t>
  </si>
  <si>
    <t>Ball Weight (lb)</t>
  </si>
  <si>
    <t>Camera Weight (lb)</t>
  </si>
  <si>
    <t>Packaging Weight (lb)</t>
  </si>
  <si>
    <t>Misc Weight (Instruction Booklets) (lb)</t>
  </si>
  <si>
    <t>Product Weight (lb)</t>
  </si>
  <si>
    <t>NPV (In Millions)</t>
  </si>
  <si>
    <t>Outbound Logistics</t>
  </si>
  <si>
    <t>Inbound Logistics</t>
  </si>
  <si>
    <t>Year 0 Monthly Output</t>
  </si>
  <si>
    <t>Jan</t>
  </si>
  <si>
    <t>Feb</t>
  </si>
  <si>
    <t>Mar</t>
  </si>
  <si>
    <t>Apr</t>
  </si>
  <si>
    <t>May</t>
  </si>
  <si>
    <t>Jun</t>
  </si>
  <si>
    <t>Jul</t>
  </si>
  <si>
    <t>Aug</t>
  </si>
  <si>
    <t>Sep</t>
  </si>
  <si>
    <t>Oct</t>
  </si>
  <si>
    <t>Nov</t>
  </si>
  <si>
    <t>Dec</t>
  </si>
  <si>
    <t>Year 1 Monthly Output</t>
  </si>
  <si>
    <t>Year 2 Monthly Output</t>
  </si>
  <si>
    <t>Year 3 Monthly Output</t>
  </si>
  <si>
    <t>Total Annual  Output</t>
  </si>
  <si>
    <t>Year 4 Monthly Output</t>
  </si>
  <si>
    <t>Year 5 Monthly Output</t>
  </si>
  <si>
    <t>Per PupPal</t>
  </si>
  <si>
    <t>Foreign (China)</t>
  </si>
  <si>
    <t>Domestic (US)</t>
  </si>
  <si>
    <t>Lead Time (Days)</t>
  </si>
  <si>
    <t>Number of Parts/Unit</t>
  </si>
  <si>
    <t>Total Units Required Monthly</t>
  </si>
  <si>
    <t>Total Average Monthly Order Quantity/Max Order Quantity</t>
  </si>
  <si>
    <t>$ per unit</t>
  </si>
  <si>
    <t>Retail Price</t>
  </si>
  <si>
    <t>Channel Margin</t>
  </si>
  <si>
    <t>G&amp;A</t>
  </si>
  <si>
    <t>Sales &amp; Marketing</t>
  </si>
  <si>
    <t>Pre-Tax Profit</t>
  </si>
  <si>
    <t>Target COGS</t>
  </si>
  <si>
    <t>% of </t>
  </si>
  <si>
    <t>100% of Retail Price</t>
  </si>
  <si>
    <t>45% of Retail Price</t>
  </si>
  <si>
    <t>Net Revenue to team</t>
  </si>
  <si>
    <t>55% of Retail Price</t>
  </si>
  <si>
    <t>20% of Net Revenue</t>
  </si>
  <si>
    <t>7.6% of Net Revenue</t>
  </si>
  <si>
    <t>52.4% of Net Revenue</t>
  </si>
  <si>
    <t>Direct Materials </t>
  </si>
  <si>
    <t>60% of COGS</t>
  </si>
  <si>
    <t>Direct Labor </t>
  </si>
  <si>
    <t>20% of COGS</t>
  </si>
  <si>
    <t>Manufacturing Overhead </t>
  </si>
  <si>
    <t>Initial Target Costing</t>
  </si>
  <si>
    <t>% of Retail Price</t>
  </si>
  <si>
    <t>Final Costing (Year 5)</t>
  </si>
  <si>
    <t>43% of Retail Price</t>
  </si>
  <si>
    <t>57% of Retail Price</t>
  </si>
  <si>
    <t>13% of Net Revenue</t>
  </si>
  <si>
    <t>8% of Net Revenue</t>
  </si>
  <si>
    <t>9% of Net Revenue</t>
  </si>
  <si>
    <t>35% of Net Revenue</t>
  </si>
  <si>
    <t>72% of COGS</t>
  </si>
  <si>
    <t>16% of COGS</t>
  </si>
  <si>
    <t>12% of COGS</t>
  </si>
  <si>
    <t>Inventory Management (RM, WIP, FG)</t>
  </si>
  <si>
    <t>Forecasted Demand</t>
  </si>
  <si>
    <t>Factory Capcity</t>
  </si>
  <si>
    <t>Paid</t>
  </si>
  <si>
    <t>Magazine Ads</t>
  </si>
  <si>
    <t>Creative Marketing Idea</t>
  </si>
  <si>
    <t>Earned</t>
  </si>
  <si>
    <t>PR Magazines &amp; Blogs</t>
  </si>
  <si>
    <t>Word of Mouth</t>
  </si>
  <si>
    <t>Owned</t>
  </si>
  <si>
    <t>Total Awareness Generated</t>
  </si>
  <si>
    <t>Total IMC Schedule Cost</t>
  </si>
  <si>
    <t>IMC Expenses as a % of Sales</t>
  </si>
  <si>
    <t>12.5% of mean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</si>
</sst>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5" formatCode="&quot;$&quot;#,##0_);\(&quot;$&quot;#,##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quot;$&quot;#,##0.00"/>
    <numFmt numFmtId="165" formatCode="&quot;$&quot;#,##0"/>
    <numFmt numFmtId="166" formatCode="0.000"/>
    <numFmt numFmtId="167" formatCode="_(&quot;$&quot;* #,##0_);_(&quot;$&quot;* \(#,##0\);_(&quot;$&quot;* &quot;-&quot;??_);_(@_)"/>
    <numFmt numFmtId="168" formatCode="_(* #,##0_);_(* \(#,##0\);_(* &quot;-&quot;??_);_(@_)"/>
    <numFmt numFmtId="169" formatCode="0.0"/>
    <numFmt numFmtId="170" formatCode="_(* #,##0.0_);_(* \(#,##0.0\);_(* &quot;-&quot;??_);_(@_)"/>
    <numFmt numFmtId="171" formatCode="#,##0.0"/>
    <numFmt numFmtId="172" formatCode="0.00000000%"/>
    <numFmt numFmtId="173" formatCode="#,##0.00;\(#,##0.00\)"/>
    <numFmt numFmtId="174" formatCode="_(&quot;$&quot;* #,##0.00_);_(&quot;$&quot;* \(#,##0.00\);_(&quot;$&quot;* &quot;-&quot;??.00_);_(@_)"/>
    <numFmt numFmtId="175" formatCode="_(&quot;$&quot;* #,##0.00_);_(&quot;$&quot;* \(#,##0.00\);_(&quot;$&quot;* &quot;-&quot;??.0_);_(@_)"/>
    <numFmt numFmtId="176" formatCode="#,##0;\(#,##0\)"/>
    <numFmt numFmtId="177" formatCode="0.0%"/>
  </numFmts>
  <fonts count="115">
    <font>
      <sz val="10"/>
      <color rgb="FF000000"/>
      <name val="Arial"/>
    </font>
    <font>
      <sz val="11"/>
      <color theme="1"/>
      <name val="Arial"/>
      <family val="2"/>
      <scheme val="minor"/>
    </font>
    <font>
      <b/>
      <sz val="10"/>
      <color theme="1"/>
      <name val="Arial"/>
      <family val="2"/>
    </font>
    <font>
      <b/>
      <sz val="14"/>
      <color theme="1"/>
      <name val="Arial"/>
      <family val="2"/>
    </font>
    <font>
      <u/>
      <sz val="12"/>
      <color rgb="FF1155CC"/>
      <name val="Arial"/>
      <family val="2"/>
    </font>
    <font>
      <sz val="12"/>
      <color theme="1"/>
      <name val="Arial"/>
      <family val="2"/>
    </font>
    <font>
      <b/>
      <u/>
      <sz val="20"/>
      <color rgb="FF1155CC"/>
      <name val="Arial"/>
      <family val="2"/>
    </font>
    <font>
      <i/>
      <sz val="10"/>
      <color theme="1"/>
      <name val="Arial"/>
      <family val="2"/>
    </font>
    <font>
      <b/>
      <sz val="12"/>
      <name val="Arial"/>
      <family val="2"/>
    </font>
    <font>
      <sz val="10"/>
      <color theme="1"/>
      <name val="Arial"/>
      <family val="2"/>
    </font>
    <font>
      <sz val="11"/>
      <color theme="1"/>
      <name val="Arial"/>
      <family val="2"/>
    </font>
    <font>
      <b/>
      <sz val="12"/>
      <color theme="1"/>
      <name val="Arial"/>
      <family val="2"/>
    </font>
    <font>
      <sz val="12"/>
      <color rgb="FF000000"/>
      <name val="Arial"/>
      <family val="2"/>
    </font>
    <font>
      <sz val="11"/>
      <color rgb="FF000000"/>
      <name val="Arial"/>
      <family val="2"/>
    </font>
    <font>
      <sz val="10"/>
      <name val="Arial"/>
      <family val="2"/>
    </font>
    <font>
      <sz val="12"/>
      <name val="Arial"/>
      <family val="2"/>
    </font>
    <font>
      <sz val="12"/>
      <name val="Arial"/>
      <family val="2"/>
    </font>
    <font>
      <b/>
      <sz val="12"/>
      <color rgb="FF000000"/>
      <name val="Arial"/>
      <family val="2"/>
    </font>
    <font>
      <b/>
      <sz val="10"/>
      <color rgb="FF000000"/>
      <name val="Arial"/>
      <family val="2"/>
    </font>
    <font>
      <sz val="10"/>
      <color rgb="FF000000"/>
      <name val="Arial"/>
      <family val="2"/>
    </font>
    <font>
      <sz val="11"/>
      <color theme="1"/>
      <name val="Calibri"/>
      <family val="2"/>
    </font>
    <font>
      <sz val="12"/>
      <color rgb="FFFF0000"/>
      <name val="Arial"/>
      <family val="2"/>
    </font>
    <font>
      <sz val="12"/>
      <color theme="5"/>
      <name val="Arial"/>
      <family val="2"/>
    </font>
    <font>
      <sz val="12"/>
      <color theme="1"/>
      <name val="Calibri"/>
      <family val="2"/>
    </font>
    <font>
      <u/>
      <sz val="12"/>
      <color theme="1"/>
      <name val="Arial"/>
      <family val="2"/>
    </font>
    <font>
      <b/>
      <i/>
      <sz val="10"/>
      <color theme="1"/>
      <name val="Arial"/>
      <family val="2"/>
    </font>
    <font>
      <b/>
      <u/>
      <sz val="20"/>
      <color rgb="FF1155CC"/>
      <name val="Arial"/>
      <family val="2"/>
    </font>
    <font>
      <sz val="10"/>
      <color rgb="FFFF0000"/>
      <name val="Arial"/>
      <family val="2"/>
    </font>
    <font>
      <sz val="10"/>
      <color rgb="FFFF0000"/>
      <name val="Arial"/>
      <family val="2"/>
    </font>
    <font>
      <b/>
      <sz val="12"/>
      <color theme="1"/>
      <name val="Calibri"/>
      <family val="2"/>
    </font>
    <font>
      <b/>
      <sz val="10"/>
      <color theme="1"/>
      <name val="Arial"/>
      <family val="2"/>
    </font>
    <font>
      <sz val="10"/>
      <color theme="1"/>
      <name val="Arial"/>
      <family val="2"/>
    </font>
    <font>
      <b/>
      <sz val="12"/>
      <color rgb="FF000000"/>
      <name val="Muli"/>
    </font>
    <font>
      <i/>
      <sz val="12"/>
      <color theme="1"/>
      <name val="Arial"/>
      <family val="2"/>
    </font>
    <font>
      <b/>
      <sz val="12"/>
      <color rgb="FFFF0000"/>
      <name val="Arial"/>
      <family val="2"/>
    </font>
    <font>
      <b/>
      <sz val="11"/>
      <color theme="1"/>
      <name val="Arial"/>
      <family val="2"/>
    </font>
    <font>
      <b/>
      <sz val="11"/>
      <color rgb="FFFF0000"/>
      <name val="Arial"/>
      <family val="2"/>
    </font>
    <font>
      <b/>
      <u/>
      <sz val="20"/>
      <color rgb="FF1155CC"/>
      <name val="Arial"/>
      <family val="2"/>
    </font>
    <font>
      <b/>
      <sz val="20"/>
      <color rgb="FF0000FF"/>
      <name val="Arial"/>
      <family val="2"/>
    </font>
    <font>
      <b/>
      <sz val="12"/>
      <color rgb="FFFFFFFF"/>
      <name val="Arial"/>
      <family val="2"/>
    </font>
    <font>
      <sz val="12"/>
      <color rgb="FFFFFFFF"/>
      <name val="Arial"/>
      <family val="2"/>
    </font>
    <font>
      <sz val="12"/>
      <color rgb="FFA2C4C9"/>
      <name val="Arial"/>
      <family val="2"/>
    </font>
    <font>
      <b/>
      <u/>
      <sz val="20"/>
      <color rgb="FF1155CC"/>
      <name val="Arial"/>
      <family val="2"/>
    </font>
    <font>
      <sz val="12"/>
      <color rgb="FF000000"/>
      <name val="&quot;Times New Roman&quot;"/>
    </font>
    <font>
      <sz val="12"/>
      <color rgb="FFFFFFFF"/>
      <name val="&quot;Times New Roman&quot;"/>
    </font>
    <font>
      <sz val="12"/>
      <color rgb="FF000000"/>
      <name val="Calibri"/>
      <family val="2"/>
    </font>
    <font>
      <sz val="12"/>
      <color rgb="FFB4A7D6"/>
      <name val="Arial"/>
      <family val="2"/>
    </font>
    <font>
      <sz val="12"/>
      <color theme="1"/>
      <name val="&quot;Times New Roman&quot;"/>
    </font>
    <font>
      <sz val="10"/>
      <color rgb="FFFFFFFF"/>
      <name val="Arial"/>
      <family val="2"/>
    </font>
    <font>
      <b/>
      <u/>
      <sz val="20"/>
      <color rgb="FF1155CC"/>
      <name val="Arial"/>
      <family val="2"/>
    </font>
    <font>
      <b/>
      <sz val="20"/>
      <color theme="1"/>
      <name val="Arial"/>
      <family val="2"/>
    </font>
    <font>
      <sz val="12"/>
      <color rgb="FFFF0000"/>
      <name val="Arial"/>
      <family val="2"/>
    </font>
    <font>
      <b/>
      <u/>
      <sz val="12"/>
      <color theme="1"/>
      <name val="Arial"/>
      <family val="2"/>
    </font>
    <font>
      <sz val="11"/>
      <color rgb="FF000000"/>
      <name val="Inconsolata"/>
    </font>
    <font>
      <b/>
      <u/>
      <sz val="20"/>
      <color rgb="FF1155CC"/>
      <name val="Arial"/>
      <family val="2"/>
    </font>
    <font>
      <b/>
      <u/>
      <sz val="15"/>
      <color rgb="FF1155CC"/>
      <name val="&quot;Google Sans&quot;"/>
    </font>
    <font>
      <b/>
      <sz val="15"/>
      <color rgb="FF000000"/>
      <name val="&quot;Google Sans&quot;"/>
    </font>
    <font>
      <b/>
      <u/>
      <sz val="12"/>
      <color theme="1"/>
      <name val="Arial"/>
      <family val="2"/>
    </font>
    <font>
      <b/>
      <u/>
      <sz val="12"/>
      <color theme="1"/>
      <name val="Arial"/>
      <family val="2"/>
    </font>
    <font>
      <u/>
      <sz val="12"/>
      <color rgb="FF1155CC"/>
      <name val="Arial"/>
      <family val="2"/>
    </font>
    <font>
      <sz val="12"/>
      <color rgb="FF1C1D20"/>
      <name val="&quot;PT Sans&quot;"/>
    </font>
    <font>
      <sz val="12"/>
      <color rgb="FF000000"/>
      <name val="Poppins"/>
    </font>
    <font>
      <sz val="12"/>
      <color rgb="FF212529"/>
      <name val="Roboto"/>
    </font>
    <font>
      <sz val="12"/>
      <color rgb="FF333333"/>
      <name val="Roboto"/>
    </font>
    <font>
      <u/>
      <sz val="12"/>
      <color theme="1"/>
      <name val="Arial"/>
      <family val="2"/>
    </font>
    <font>
      <u/>
      <sz val="12"/>
      <color rgb="FF1A73E8"/>
      <name val="Roboto"/>
    </font>
    <font>
      <u/>
      <sz val="12"/>
      <color rgb="FF0000FF"/>
      <name val="Arial"/>
      <family val="2"/>
    </font>
    <font>
      <u/>
      <sz val="12"/>
      <color rgb="FF0000FF"/>
      <name val="Arial"/>
      <family val="2"/>
    </font>
    <font>
      <u/>
      <sz val="12"/>
      <color rgb="FF1155CC"/>
      <name val="Arial"/>
      <family val="2"/>
    </font>
    <font>
      <u/>
      <sz val="12"/>
      <color rgb="FF0000FF"/>
      <name val="Arial"/>
      <family val="2"/>
    </font>
    <font>
      <u/>
      <sz val="10"/>
      <color rgb="FF0000FF"/>
      <name val="Arial"/>
      <family val="2"/>
    </font>
    <font>
      <b/>
      <sz val="12"/>
      <color rgb="FF000000"/>
      <name val="Calibri"/>
      <family val="2"/>
    </font>
    <font>
      <b/>
      <u/>
      <sz val="10"/>
      <color theme="1"/>
      <name val="Arial"/>
      <family val="2"/>
    </font>
    <font>
      <b/>
      <u/>
      <sz val="12"/>
      <color theme="1"/>
      <name val="Arial"/>
      <family val="2"/>
    </font>
    <font>
      <sz val="10"/>
      <color rgb="FF0000FF"/>
      <name val="Arial"/>
      <family val="2"/>
    </font>
    <font>
      <b/>
      <u/>
      <sz val="12"/>
      <color theme="1"/>
      <name val="Arial"/>
      <family val="2"/>
    </font>
    <font>
      <b/>
      <u/>
      <sz val="12"/>
      <color theme="1"/>
      <name val="Arial"/>
      <family val="2"/>
    </font>
    <font>
      <b/>
      <u/>
      <sz val="12"/>
      <color theme="1"/>
      <name val="Arial"/>
      <family val="2"/>
    </font>
    <font>
      <b/>
      <u/>
      <sz val="12"/>
      <color theme="1"/>
      <name val="Arial"/>
      <family val="2"/>
    </font>
    <font>
      <b/>
      <u/>
      <sz val="12"/>
      <color theme="1"/>
      <name val="Arial"/>
      <family val="2"/>
    </font>
    <font>
      <u/>
      <sz val="12"/>
      <color rgb="FF0000FF"/>
      <name val="Arial"/>
      <family val="2"/>
    </font>
    <font>
      <sz val="12"/>
      <color rgb="FF604A40"/>
      <name val="Arial"/>
      <family val="2"/>
    </font>
    <font>
      <sz val="12"/>
      <color rgb="FF202020"/>
      <name val="Arial"/>
      <family val="2"/>
    </font>
    <font>
      <u/>
      <sz val="12"/>
      <color rgb="FF0000FF"/>
      <name val="Arial"/>
      <family val="2"/>
    </font>
    <font>
      <b/>
      <u/>
      <sz val="12"/>
      <color theme="1"/>
      <name val="Arial"/>
      <family val="2"/>
    </font>
    <font>
      <u/>
      <sz val="10"/>
      <color theme="10"/>
      <name val="Arial"/>
      <family val="2"/>
    </font>
    <font>
      <b/>
      <sz val="14"/>
      <color rgb="FF000000"/>
      <name val="Arial"/>
      <family val="2"/>
    </font>
    <font>
      <b/>
      <sz val="10"/>
      <name val="Arial"/>
      <family val="2"/>
    </font>
    <font>
      <b/>
      <sz val="8"/>
      <color indexed="81"/>
      <name val="Tahoma"/>
      <family val="2"/>
    </font>
    <font>
      <sz val="8"/>
      <color indexed="81"/>
      <name val="Tahoma"/>
      <family val="2"/>
    </font>
    <font>
      <b/>
      <sz val="8"/>
      <color rgb="FF000000"/>
      <name val="Tahoma"/>
      <family val="2"/>
    </font>
    <font>
      <sz val="8"/>
      <color rgb="FF000000"/>
      <name val="Tahoma"/>
      <family val="2"/>
    </font>
    <font>
      <sz val="11"/>
      <color theme="1"/>
      <name val="Arial"/>
      <family val="2"/>
      <scheme val="minor"/>
    </font>
    <font>
      <b/>
      <sz val="11"/>
      <color theme="1"/>
      <name val="Arial"/>
      <family val="2"/>
      <scheme val="minor"/>
    </font>
    <font>
      <b/>
      <u/>
      <sz val="12"/>
      <name val="Arial"/>
      <family val="2"/>
    </font>
    <font>
      <sz val="11"/>
      <color rgb="FF000000"/>
      <name val="Calibri"/>
      <family val="2"/>
    </font>
    <font>
      <sz val="12"/>
      <color rgb="FF000000"/>
      <name val="Arial"/>
      <family val="2"/>
      <scheme val="major"/>
    </font>
    <font>
      <sz val="12"/>
      <color rgb="FF000000"/>
      <name val="Arial"/>
      <family val="2"/>
      <scheme val="minor"/>
    </font>
    <font>
      <b/>
      <sz val="12"/>
      <color rgb="FF0000FF"/>
      <name val="Arial"/>
      <family val="2"/>
    </font>
    <font>
      <u/>
      <sz val="12"/>
      <color theme="10"/>
      <name val="Arial"/>
      <family val="2"/>
    </font>
    <font>
      <b/>
      <sz val="16"/>
      <color theme="1"/>
      <name val="Arial"/>
      <family val="2"/>
    </font>
    <font>
      <sz val="16"/>
      <name val="Arial"/>
      <family val="2"/>
    </font>
    <font>
      <b/>
      <sz val="12"/>
      <color rgb="FF000000"/>
      <name val="Arial"/>
      <family val="2"/>
      <scheme val="major"/>
    </font>
    <font>
      <sz val="12"/>
      <color theme="1"/>
      <name val="Arial"/>
      <family val="2"/>
      <scheme val="major"/>
    </font>
    <font>
      <sz val="12"/>
      <name val="Arial"/>
      <family val="2"/>
      <scheme val="major"/>
    </font>
    <font>
      <b/>
      <sz val="12"/>
      <color rgb="FFFF0000"/>
      <name val="Arial"/>
      <family val="2"/>
      <scheme val="major"/>
    </font>
    <font>
      <b/>
      <sz val="12"/>
      <color theme="1"/>
      <name val="Arial"/>
      <family val="2"/>
      <scheme val="major"/>
    </font>
    <font>
      <sz val="11"/>
      <name val="Arial"/>
      <family val="2"/>
    </font>
    <font>
      <u/>
      <sz val="12"/>
      <color rgb="FF000000"/>
      <name val="Arial"/>
      <family val="2"/>
    </font>
    <font>
      <b/>
      <u/>
      <sz val="12"/>
      <color rgb="FF000000"/>
      <name val="Arial"/>
      <family val="2"/>
    </font>
    <font>
      <b/>
      <u/>
      <sz val="12"/>
      <color rgb="FF1155CC"/>
      <name val="Arial"/>
      <family val="2"/>
    </font>
    <font>
      <b/>
      <sz val="16"/>
      <color rgb="FF000000"/>
      <name val="Arial"/>
      <family val="2"/>
    </font>
    <font>
      <sz val="8"/>
      <name val="Arial"/>
      <family val="2"/>
    </font>
    <font>
      <sz val="12"/>
      <color theme="0"/>
      <name val="Arial"/>
      <family val="2"/>
    </font>
    <font>
      <sz val="16"/>
      <color rgb="FF000000"/>
      <name val="Arial"/>
      <family val="2"/>
    </font>
  </fonts>
  <fills count="66">
    <fill>
      <patternFill patternType="none"/>
    </fill>
    <fill>
      <patternFill patternType="gray125"/>
    </fill>
    <fill>
      <patternFill patternType="solid">
        <fgColor rgb="FFFFFF00"/>
        <bgColor rgb="FFFFFF00"/>
      </patternFill>
    </fill>
    <fill>
      <patternFill patternType="solid">
        <fgColor rgb="FFF9CB9C"/>
        <bgColor rgb="FFF9CB9C"/>
      </patternFill>
    </fill>
    <fill>
      <patternFill patternType="solid">
        <fgColor rgb="FFFCE5CD"/>
        <bgColor rgb="FFFCE5CD"/>
      </patternFill>
    </fill>
    <fill>
      <patternFill patternType="solid">
        <fgColor rgb="FFD9D2E9"/>
        <bgColor rgb="FFD9D2E9"/>
      </patternFill>
    </fill>
    <fill>
      <patternFill patternType="solid">
        <fgColor rgb="FFFFFFFF"/>
        <bgColor rgb="FFFFFFFF"/>
      </patternFill>
    </fill>
    <fill>
      <patternFill patternType="solid">
        <fgColor rgb="FFD0CECE"/>
        <bgColor rgb="FFD0CECE"/>
      </patternFill>
    </fill>
    <fill>
      <patternFill patternType="solid">
        <fgColor rgb="FFC0C0C0"/>
        <bgColor rgb="FFC0C0C0"/>
      </patternFill>
    </fill>
    <fill>
      <patternFill patternType="solid">
        <fgColor rgb="FFD8D8D8"/>
        <bgColor rgb="FFD8D8D8"/>
      </patternFill>
    </fill>
    <fill>
      <patternFill patternType="solid">
        <fgColor rgb="FFD9D9D9"/>
        <bgColor rgb="FFD9D9D9"/>
      </patternFill>
    </fill>
    <fill>
      <patternFill patternType="solid">
        <fgColor rgb="FFCCCCCC"/>
        <bgColor rgb="FFCCCCCC"/>
      </patternFill>
    </fill>
    <fill>
      <patternFill patternType="solid">
        <fgColor rgb="FF00FF00"/>
        <bgColor rgb="FF00FF00"/>
      </patternFill>
    </fill>
    <fill>
      <patternFill patternType="solid">
        <fgColor rgb="FFFFF2CC"/>
        <bgColor rgb="FFFFF2CC"/>
      </patternFill>
    </fill>
    <fill>
      <patternFill patternType="solid">
        <fgColor rgb="FFD9EAD3"/>
        <bgColor rgb="FFD9EAD3"/>
      </patternFill>
    </fill>
    <fill>
      <patternFill patternType="solid">
        <fgColor rgb="FFFFE599"/>
        <bgColor rgb="FFFFE599"/>
      </patternFill>
    </fill>
    <fill>
      <patternFill patternType="solid">
        <fgColor rgb="FFB6D7A8"/>
        <bgColor rgb="FFB6D7A8"/>
      </patternFill>
    </fill>
    <fill>
      <patternFill patternType="solid">
        <fgColor rgb="FFB4A7D6"/>
        <bgColor rgb="FFB4A7D6"/>
      </patternFill>
    </fill>
    <fill>
      <patternFill patternType="solid">
        <fgColor rgb="FFA2C4C9"/>
        <bgColor rgb="FFA2C4C9"/>
      </patternFill>
    </fill>
    <fill>
      <patternFill patternType="solid">
        <fgColor rgb="FFEA9999"/>
        <bgColor rgb="FFEA9999"/>
      </patternFill>
    </fill>
    <fill>
      <patternFill patternType="solid">
        <fgColor rgb="FFF4CCCC"/>
        <bgColor rgb="FFF4CCCC"/>
      </patternFill>
    </fill>
    <fill>
      <patternFill patternType="solid">
        <fgColor rgb="FFEFEFEF"/>
        <bgColor rgb="FFEFEFEF"/>
      </patternFill>
    </fill>
    <fill>
      <patternFill patternType="solid">
        <fgColor rgb="FFF3F3F3"/>
        <bgColor rgb="FFF3F3F3"/>
      </patternFill>
    </fill>
    <fill>
      <patternFill patternType="solid">
        <fgColor theme="8" tint="0.79998168889431442"/>
        <bgColor indexed="64"/>
      </patternFill>
    </fill>
    <fill>
      <patternFill patternType="solid">
        <fgColor theme="8" tint="0.79998168889431442"/>
        <bgColor rgb="FFF9CB9C"/>
      </patternFill>
    </fill>
    <fill>
      <patternFill patternType="solid">
        <fgColor theme="8" tint="0.79998168889431442"/>
        <bgColor rgb="FF3C78D8"/>
      </patternFill>
    </fill>
    <fill>
      <patternFill patternType="solid">
        <fgColor theme="8" tint="0.79998168889431442"/>
        <bgColor rgb="FF00FF00"/>
      </patternFill>
    </fill>
    <fill>
      <patternFill patternType="solid">
        <fgColor theme="8" tint="0.79998168889431442"/>
        <bgColor rgb="FFFFFF00"/>
      </patternFill>
    </fill>
    <fill>
      <patternFill patternType="solid">
        <fgColor theme="8" tint="0.79998168889431442"/>
        <bgColor rgb="FFFFE599"/>
      </patternFill>
    </fill>
    <fill>
      <patternFill patternType="solid">
        <fgColor theme="8" tint="0.59999389629810485"/>
        <bgColor rgb="FFFFE599"/>
      </patternFill>
    </fill>
    <fill>
      <patternFill patternType="solid">
        <fgColor theme="8" tint="0.59999389629810485"/>
        <bgColor indexed="64"/>
      </patternFill>
    </fill>
    <fill>
      <patternFill patternType="solid">
        <fgColor theme="7" tint="0.59999389629810485"/>
        <bgColor indexed="64"/>
      </patternFill>
    </fill>
    <fill>
      <patternFill patternType="solid">
        <fgColor theme="8" tint="0.59999389629810485"/>
        <bgColor rgb="FFBB7AFE"/>
      </patternFill>
    </fill>
    <fill>
      <patternFill patternType="solid">
        <fgColor theme="6" tint="0.79998168889431442"/>
        <bgColor rgb="FFFFF2CC"/>
      </patternFill>
    </fill>
    <fill>
      <patternFill patternType="solid">
        <fgColor theme="6" tint="0.79998168889431442"/>
        <bgColor rgb="FFFF9900"/>
      </patternFill>
    </fill>
    <fill>
      <patternFill patternType="solid">
        <fgColor theme="6" tint="0.79998168889431442"/>
        <bgColor indexed="64"/>
      </patternFill>
    </fill>
    <fill>
      <patternFill patternType="solid">
        <fgColor theme="8" tint="0.59999389629810485"/>
        <bgColor rgb="FFFCE5CD"/>
      </patternFill>
    </fill>
    <fill>
      <patternFill patternType="solid">
        <fgColor theme="8" tint="0.79998168889431442"/>
        <bgColor rgb="FFFFF2CC"/>
      </patternFill>
    </fill>
    <fill>
      <patternFill patternType="solid">
        <fgColor rgb="FFDAD2E8"/>
        <bgColor indexed="64"/>
      </patternFill>
    </fill>
    <fill>
      <patternFill patternType="solid">
        <fgColor theme="8" tint="0.59999389629810485"/>
        <bgColor rgb="FFFFD966"/>
      </patternFill>
    </fill>
    <fill>
      <patternFill patternType="solid">
        <fgColor theme="8" tint="0.79998168889431442"/>
        <bgColor rgb="FFFFD966"/>
      </patternFill>
    </fill>
    <fill>
      <patternFill patternType="solid">
        <fgColor theme="8" tint="0.59999389629810485"/>
        <bgColor rgb="FFFFF2CC"/>
      </patternFill>
    </fill>
    <fill>
      <patternFill patternType="solid">
        <fgColor rgb="FFDAD2E8"/>
        <bgColor rgb="FFFFFF00"/>
      </patternFill>
    </fill>
    <fill>
      <patternFill patternType="solid">
        <fgColor rgb="FFDAD2E8"/>
        <bgColor rgb="FF00FFFF"/>
      </patternFill>
    </fill>
    <fill>
      <patternFill patternType="solid">
        <fgColor rgb="FFDAD2E8"/>
        <bgColor rgb="FFFFFFFF"/>
      </patternFill>
    </fill>
    <fill>
      <patternFill patternType="solid">
        <fgColor theme="8" tint="0.59999389629810485"/>
        <bgColor rgb="FFFFFF00"/>
      </patternFill>
    </fill>
    <fill>
      <patternFill patternType="solid">
        <fgColor theme="0" tint="-4.9989318521683403E-2"/>
        <bgColor rgb="FFF3F3F3"/>
      </patternFill>
    </fill>
    <fill>
      <patternFill patternType="solid">
        <fgColor theme="0" tint="-4.9989318521683403E-2"/>
        <bgColor rgb="FFD9EAD3"/>
      </patternFill>
    </fill>
    <fill>
      <patternFill patternType="solid">
        <fgColor theme="6" tint="0.79998168889431442"/>
        <bgColor rgb="FFB6D7A8"/>
      </patternFill>
    </fill>
    <fill>
      <patternFill patternType="solid">
        <fgColor theme="6" tint="0.79998168889431442"/>
        <bgColor rgb="FF93C47D"/>
      </patternFill>
    </fill>
    <fill>
      <patternFill patternType="solid">
        <fgColor theme="0" tint="-0.14999847407452621"/>
        <bgColor rgb="FFF4CCCC"/>
      </patternFill>
    </fill>
    <fill>
      <patternFill patternType="solid">
        <fgColor theme="8" tint="0.79998168889431442"/>
        <bgColor rgb="FF00FFFF"/>
      </patternFill>
    </fill>
    <fill>
      <patternFill patternType="solid">
        <fgColor rgb="FFFFC599"/>
        <bgColor indexed="64"/>
      </patternFill>
    </fill>
    <fill>
      <patternFill patternType="solid">
        <fgColor theme="5" tint="0.79998168889431442"/>
        <bgColor indexed="64"/>
      </patternFill>
    </fill>
    <fill>
      <patternFill patternType="solid">
        <fgColor rgb="FFDAD2E8"/>
        <bgColor rgb="FFFFF2CC"/>
      </patternFill>
    </fill>
    <fill>
      <patternFill patternType="solid">
        <fgColor rgb="FFDAD2E8"/>
        <bgColor rgb="FFEFEFEF"/>
      </patternFill>
    </fill>
    <fill>
      <patternFill patternType="solid">
        <fgColor rgb="FFDAD2E8"/>
        <bgColor rgb="FFF3F3F3"/>
      </patternFill>
    </fill>
    <fill>
      <patternFill patternType="solid">
        <fgColor theme="8" tint="0.79998168889431442"/>
        <bgColor rgb="FFFCE5CD"/>
      </patternFill>
    </fill>
    <fill>
      <patternFill patternType="solid">
        <fgColor rgb="FFFF0000"/>
        <bgColor indexed="64"/>
      </patternFill>
    </fill>
    <fill>
      <patternFill patternType="solid">
        <fgColor rgb="FFFF0000"/>
        <bgColor rgb="FFFF0000"/>
      </patternFill>
    </fill>
    <fill>
      <patternFill patternType="solid">
        <fgColor rgb="FF92D050"/>
        <bgColor rgb="FF92D050"/>
      </patternFill>
    </fill>
    <fill>
      <patternFill patternType="solid">
        <fgColor rgb="FFFFC599"/>
        <bgColor rgb="FFD9D2E9"/>
      </patternFill>
    </fill>
    <fill>
      <patternFill patternType="solid">
        <fgColor rgb="FFFFC000"/>
        <bgColor rgb="FFFFC000"/>
      </patternFill>
    </fill>
    <fill>
      <patternFill patternType="solid">
        <fgColor rgb="FFFCE5CD"/>
        <bgColor indexed="64"/>
      </patternFill>
    </fill>
    <fill>
      <patternFill patternType="solid">
        <fgColor theme="4"/>
        <bgColor indexed="64"/>
      </patternFill>
    </fill>
    <fill>
      <patternFill patternType="solid">
        <fgColor theme="5"/>
        <bgColor indexed="64"/>
      </patternFill>
    </fill>
  </fills>
  <borders count="252">
    <border>
      <left/>
      <right/>
      <top/>
      <bottom/>
      <diagonal/>
    </border>
    <border>
      <left style="thick">
        <color rgb="FF000000"/>
      </left>
      <right/>
      <top style="thick">
        <color rgb="FF000000"/>
      </top>
      <bottom/>
      <diagonal/>
    </border>
    <border>
      <left/>
      <right/>
      <top style="thick">
        <color rgb="FF000000"/>
      </top>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ck">
        <color rgb="FF000000"/>
      </top>
      <bottom style="thick">
        <color rgb="FF000000"/>
      </bottom>
      <diagonal/>
    </border>
    <border>
      <left/>
      <right style="thin">
        <color rgb="FF000000"/>
      </right>
      <top style="thick">
        <color rgb="FF000000"/>
      </top>
      <bottom style="thick">
        <color rgb="FF000000"/>
      </bottom>
      <diagonal/>
    </border>
    <border>
      <left style="thick">
        <color rgb="FF000000"/>
      </left>
      <right style="thick">
        <color rgb="FF000000"/>
      </right>
      <top style="thick">
        <color rgb="FF000000"/>
      </top>
      <bottom style="thick">
        <color rgb="FF000000"/>
      </bottom>
      <diagonal/>
    </border>
    <border>
      <left style="thick">
        <color rgb="FF000000"/>
      </left>
      <right/>
      <top/>
      <bottom/>
      <diagonal/>
    </border>
    <border>
      <left/>
      <right style="thick">
        <color rgb="FF000000"/>
      </right>
      <top/>
      <bottom/>
      <diagonal/>
    </border>
    <border>
      <left style="thick">
        <color rgb="FF000000"/>
      </left>
      <right style="thick">
        <color rgb="FF000000"/>
      </right>
      <top style="thick">
        <color rgb="FF000000"/>
      </top>
      <bottom/>
      <diagonal/>
    </border>
    <border>
      <left style="thick">
        <color rgb="FF000000"/>
      </left>
      <right style="thick">
        <color rgb="FF000000"/>
      </right>
      <top/>
      <bottom/>
      <diagonal/>
    </border>
    <border>
      <left style="thick">
        <color rgb="FF000000"/>
      </left>
      <right/>
      <top/>
      <bottom style="thick">
        <color rgb="FF000000"/>
      </bottom>
      <diagonal/>
    </border>
    <border>
      <left/>
      <right style="thick">
        <color rgb="FF000000"/>
      </right>
      <top/>
      <bottom style="thick">
        <color rgb="FF000000"/>
      </bottom>
      <diagonal/>
    </border>
    <border>
      <left/>
      <right/>
      <top/>
      <bottom style="thick">
        <color rgb="FF000000"/>
      </bottom>
      <diagonal/>
    </border>
    <border>
      <left style="thick">
        <color rgb="FF000000"/>
      </left>
      <right style="thick">
        <color rgb="FF000000"/>
      </right>
      <top/>
      <bottom style="thick">
        <color rgb="FF000000"/>
      </bottom>
      <diagonal/>
    </border>
    <border>
      <left/>
      <right style="thick">
        <color rgb="FF000000"/>
      </right>
      <top style="thick">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top/>
      <bottom style="thin">
        <color rgb="FF000000"/>
      </bottom>
      <diagonal/>
    </border>
    <border>
      <left/>
      <right/>
      <top/>
      <bottom style="double">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ck">
        <color rgb="FF000000"/>
      </right>
      <top/>
      <bottom style="thin">
        <color rgb="FF000000"/>
      </bottom>
      <diagonal/>
    </border>
    <border>
      <left/>
      <right style="thin">
        <color rgb="FF000000"/>
      </right>
      <top/>
      <bottom style="thin">
        <color rgb="FF000000"/>
      </bottom>
      <diagonal/>
    </border>
    <border>
      <left style="thin">
        <color rgb="FF000000"/>
      </left>
      <right style="thick">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bottom style="thick">
        <color rgb="FF000000"/>
      </bottom>
      <diagonal/>
    </border>
    <border>
      <left style="thin">
        <color rgb="FF000000"/>
      </left>
      <right style="thin">
        <color rgb="FF000000"/>
      </right>
      <top/>
      <bottom style="thick">
        <color rgb="FF000000"/>
      </bottom>
      <diagonal/>
    </border>
    <border>
      <left style="thin">
        <color rgb="FF000000"/>
      </left>
      <right style="thick">
        <color rgb="FF000000"/>
      </right>
      <top/>
      <bottom style="thick">
        <color rgb="FF000000"/>
      </bottom>
      <diagonal/>
    </border>
    <border>
      <left style="thick">
        <color rgb="FF000000"/>
      </left>
      <right style="medium">
        <color rgb="FF000000"/>
      </right>
      <top style="medium">
        <color rgb="FF000000"/>
      </top>
      <bottom style="medium">
        <color rgb="FF000000"/>
      </bottom>
      <diagonal/>
    </border>
    <border>
      <left style="thick">
        <color rgb="FF000000"/>
      </left>
      <right style="thin">
        <color rgb="FF000000"/>
      </right>
      <top style="thick">
        <color rgb="FF000000"/>
      </top>
      <bottom style="thick">
        <color rgb="FF000000"/>
      </bottom>
      <diagonal/>
    </border>
    <border>
      <left style="thick">
        <color rgb="FF000000"/>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diagonal/>
    </border>
    <border>
      <left style="thick">
        <color rgb="FF000000"/>
      </left>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ck">
        <color rgb="FF000000"/>
      </top>
      <bottom/>
      <diagonal/>
    </border>
    <border>
      <left style="thin">
        <color rgb="FF000000"/>
      </left>
      <right/>
      <top/>
      <bottom style="thin">
        <color rgb="FF000000"/>
      </bottom>
      <diagonal/>
    </border>
    <border>
      <left style="medium">
        <color rgb="FF000000"/>
      </left>
      <right style="medium">
        <color rgb="FF000000"/>
      </right>
      <top style="thick">
        <color rgb="FF000000"/>
      </top>
      <bottom style="medium">
        <color rgb="FF000000"/>
      </bottom>
      <diagonal/>
    </border>
    <border>
      <left/>
      <right style="thick">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style="thick">
        <color rgb="FF000000"/>
      </bottom>
      <diagonal/>
    </border>
    <border>
      <left style="medium">
        <color rgb="FF000000"/>
      </left>
      <right style="medium">
        <color rgb="FF000000"/>
      </right>
      <top style="medium">
        <color rgb="FF000000"/>
      </top>
      <bottom/>
      <diagonal/>
    </border>
    <border>
      <left style="thin">
        <color rgb="FF000000"/>
      </left>
      <right style="thin">
        <color rgb="FF000000"/>
      </right>
      <top style="thick">
        <color rgb="FF000000"/>
      </top>
      <bottom style="thin">
        <color rgb="FF000000"/>
      </bottom>
      <diagonal/>
    </border>
    <border>
      <left style="thick">
        <color rgb="FF000000"/>
      </left>
      <right style="thin">
        <color rgb="FF000000"/>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diagonal/>
    </border>
    <border>
      <left style="thick">
        <color rgb="FF000000"/>
      </left>
      <right style="thick">
        <color rgb="FF000000"/>
      </right>
      <top style="thick">
        <color rgb="FF000000"/>
      </top>
      <bottom style="double">
        <color rgb="FF000000"/>
      </bottom>
      <diagonal/>
    </border>
    <border>
      <left/>
      <right style="thick">
        <color rgb="FF000000"/>
      </right>
      <top/>
      <bottom style="double">
        <color rgb="FF000000"/>
      </bottom>
      <diagonal/>
    </border>
    <border>
      <left style="thick">
        <color rgb="FF000000"/>
      </left>
      <right style="thick">
        <color rgb="FF000000"/>
      </right>
      <top/>
      <bottom style="double">
        <color rgb="FF000000"/>
      </bottom>
      <diagonal/>
    </border>
    <border>
      <left style="thick">
        <color rgb="FF000000"/>
      </left>
      <right style="thin">
        <color rgb="FF000000"/>
      </right>
      <top/>
      <bottom/>
      <diagonal/>
    </border>
    <border>
      <left style="thick">
        <color rgb="FF000000"/>
      </left>
      <right style="thin">
        <color rgb="FF000000"/>
      </right>
      <top/>
      <bottom style="double">
        <color rgb="FF000000"/>
      </bottom>
      <diagonal/>
    </border>
    <border>
      <left style="thick">
        <color rgb="FF000000"/>
      </left>
      <right style="thin">
        <color rgb="FF000000"/>
      </right>
      <top style="double">
        <color rgb="FF000000"/>
      </top>
      <bottom style="thick">
        <color rgb="FF000000"/>
      </bottom>
      <diagonal/>
    </border>
    <border>
      <left/>
      <right/>
      <top style="double">
        <color rgb="FF000000"/>
      </top>
      <bottom style="thick">
        <color rgb="FF000000"/>
      </bottom>
      <diagonal/>
    </border>
    <border>
      <left/>
      <right style="thick">
        <color rgb="FF000000"/>
      </right>
      <top style="double">
        <color rgb="FF000000"/>
      </top>
      <bottom style="thick">
        <color rgb="FF000000"/>
      </bottom>
      <diagonal/>
    </border>
    <border>
      <left style="thin">
        <color rgb="FF000000"/>
      </left>
      <right/>
      <top style="thick">
        <color rgb="FF000000"/>
      </top>
      <bottom style="thin">
        <color rgb="FF000000"/>
      </bottom>
      <diagonal/>
    </border>
    <border>
      <left style="thick">
        <color rgb="FF000000"/>
      </left>
      <right/>
      <top style="thick">
        <color rgb="FF000000"/>
      </top>
      <bottom style="thin">
        <color rgb="FF000000"/>
      </bottom>
      <diagonal/>
    </border>
    <border>
      <left style="thin">
        <color rgb="FF000000"/>
      </left>
      <right style="thick">
        <color rgb="FF000000"/>
      </right>
      <top/>
      <bottom/>
      <diagonal/>
    </border>
    <border>
      <left style="thick">
        <color rgb="FF000000"/>
      </left>
      <right style="thin">
        <color rgb="FF000000"/>
      </right>
      <top/>
      <bottom style="thick">
        <color rgb="FF000000"/>
      </bottom>
      <diagonal/>
    </border>
    <border>
      <left style="thin">
        <color rgb="FF000000"/>
      </left>
      <right/>
      <top style="thick">
        <color rgb="FF000000"/>
      </top>
      <bottom style="thick">
        <color rgb="FF000000"/>
      </bottom>
      <diagonal/>
    </border>
    <border>
      <left style="thick">
        <color rgb="FF000000"/>
      </left>
      <right style="thin">
        <color rgb="FF000000"/>
      </right>
      <top style="thick">
        <color rgb="FF000000"/>
      </top>
      <bottom/>
      <diagonal/>
    </border>
    <border>
      <left/>
      <right style="thick">
        <color rgb="FF000000"/>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right/>
      <top style="thick">
        <color rgb="FF000000"/>
      </top>
      <bottom style="thin">
        <color rgb="FF000000"/>
      </bottom>
      <diagonal/>
    </border>
    <border>
      <left style="thick">
        <color rgb="FF000000"/>
      </left>
      <right style="thick">
        <color rgb="FF000000"/>
      </right>
      <top style="thin">
        <color rgb="FF000000"/>
      </top>
      <bottom/>
      <diagonal/>
    </border>
    <border>
      <left/>
      <right style="thick">
        <color rgb="FF000000"/>
      </right>
      <top style="thin">
        <color rgb="FF000000"/>
      </top>
      <bottom style="thin">
        <color rgb="FF000000"/>
      </bottom>
      <diagonal/>
    </border>
    <border>
      <left/>
      <right/>
      <top style="thin">
        <color rgb="FF000000"/>
      </top>
      <bottom style="thick">
        <color rgb="FF000000"/>
      </bottom>
      <diagonal/>
    </border>
    <border>
      <left/>
      <right style="thick">
        <color rgb="FF000000"/>
      </right>
      <top style="thin">
        <color rgb="FF000000"/>
      </top>
      <bottom/>
      <diagonal/>
    </border>
    <border>
      <left/>
      <right style="thick">
        <color rgb="FF000000"/>
      </right>
      <top style="thin">
        <color rgb="FF000000"/>
      </top>
      <bottom style="thick">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style="medium">
        <color rgb="FF000000"/>
      </top>
      <bottom/>
      <diagonal/>
    </border>
    <border>
      <left/>
      <right style="medium">
        <color rgb="FF000000"/>
      </right>
      <top/>
      <bottom style="medium">
        <color rgb="FF000000"/>
      </bottom>
      <diagonal/>
    </border>
    <border>
      <left style="thick">
        <color rgb="FF000000"/>
      </left>
      <right style="medium">
        <color rgb="FF000000"/>
      </right>
      <top style="thick">
        <color rgb="FF000000"/>
      </top>
      <bottom style="medium">
        <color rgb="FF000000"/>
      </bottom>
      <diagonal/>
    </border>
    <border>
      <left/>
      <right/>
      <top style="thick">
        <color rgb="FF000000"/>
      </top>
      <bottom style="medium">
        <color rgb="FF000000"/>
      </bottom>
      <diagonal/>
    </border>
    <border>
      <left/>
      <right style="thick">
        <color rgb="FF000000"/>
      </right>
      <top style="thick">
        <color rgb="FF000000"/>
      </top>
      <bottom style="medium">
        <color rgb="FF000000"/>
      </bottom>
      <diagonal/>
    </border>
    <border>
      <left style="thick">
        <color rgb="FF000000"/>
      </left>
      <right style="medium">
        <color rgb="FF000000"/>
      </right>
      <top style="medium">
        <color rgb="FF000000"/>
      </top>
      <bottom/>
      <diagonal/>
    </border>
    <border>
      <left/>
      <right/>
      <top style="medium">
        <color rgb="FF000000"/>
      </top>
      <bottom/>
      <diagonal/>
    </border>
    <border>
      <left/>
      <right style="thick">
        <color rgb="FF000000"/>
      </right>
      <top style="medium">
        <color rgb="FF000000"/>
      </top>
      <bottom/>
      <diagonal/>
    </border>
    <border>
      <left style="thick">
        <color rgb="FF000000"/>
      </left>
      <right style="medium">
        <color rgb="FF000000"/>
      </right>
      <top/>
      <bottom/>
      <diagonal/>
    </border>
    <border>
      <left style="thick">
        <color rgb="FF000000"/>
      </left>
      <right style="medium">
        <color rgb="FF000000"/>
      </right>
      <top/>
      <bottom style="medium">
        <color rgb="FF000000"/>
      </bottom>
      <diagonal/>
    </border>
    <border>
      <left/>
      <right style="thick">
        <color rgb="FF000000"/>
      </right>
      <top/>
      <bottom style="medium">
        <color rgb="FF000000"/>
      </bottom>
      <diagonal/>
    </border>
    <border>
      <left style="thick">
        <color rgb="FF000000"/>
      </left>
      <right style="medium">
        <color rgb="FF000000"/>
      </right>
      <top/>
      <bottom style="thick">
        <color rgb="FF000000"/>
      </bottom>
      <diagonal/>
    </border>
    <border>
      <left style="thick">
        <color rgb="FF000000"/>
      </left>
      <right style="medium">
        <color rgb="FF000000"/>
      </right>
      <top/>
      <bottom style="thin">
        <color rgb="FF000000"/>
      </bottom>
      <diagonal/>
    </border>
    <border>
      <left/>
      <right/>
      <top style="thin">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ck">
        <color rgb="FF000000"/>
      </left>
      <right style="medium">
        <color rgb="FF000000"/>
      </right>
      <top style="thick">
        <color rgb="FF000000"/>
      </top>
      <bottom/>
      <diagonal/>
    </border>
    <border>
      <left style="medium">
        <color rgb="FF000000"/>
      </left>
      <right style="medium">
        <color rgb="FF000000"/>
      </right>
      <top/>
      <bottom style="thick">
        <color rgb="FF000000"/>
      </bottom>
      <diagonal/>
    </border>
    <border>
      <left style="thick">
        <color rgb="FF000000"/>
      </left>
      <right/>
      <top style="medium">
        <color rgb="FF000000"/>
      </top>
      <bottom style="medium">
        <color rgb="FF000000"/>
      </bottom>
      <diagonal/>
    </border>
    <border>
      <left/>
      <right style="thick">
        <color rgb="FF000000"/>
      </right>
      <top style="medium">
        <color rgb="FF000000"/>
      </top>
      <bottom style="medium">
        <color rgb="FF000000"/>
      </bottom>
      <diagonal/>
    </border>
    <border>
      <left/>
      <right/>
      <top style="medium">
        <color rgb="FF000000"/>
      </top>
      <bottom style="thick">
        <color rgb="FF000000"/>
      </bottom>
      <diagonal/>
    </border>
    <border>
      <left/>
      <right style="thick">
        <color rgb="FF000000"/>
      </right>
      <top style="medium">
        <color rgb="FF000000"/>
      </top>
      <bottom style="thick">
        <color rgb="FF000000"/>
      </bottom>
      <diagonal/>
    </border>
    <border>
      <left style="thick">
        <color rgb="FF000000"/>
      </left>
      <right/>
      <top style="thick">
        <color rgb="FF000000"/>
      </top>
      <bottom style="medium">
        <color rgb="FF000000"/>
      </bottom>
      <diagonal/>
    </border>
    <border>
      <left style="thick">
        <color rgb="FF000000"/>
      </left>
      <right/>
      <top style="medium">
        <color rgb="FF000000"/>
      </top>
      <bottom style="thick">
        <color rgb="FF000000"/>
      </bottom>
      <diagonal/>
    </border>
    <border>
      <left/>
      <right style="medium">
        <color rgb="FF000000"/>
      </right>
      <top/>
      <bottom style="thick">
        <color rgb="FF000000"/>
      </bottom>
      <diagonal/>
    </border>
    <border>
      <left/>
      <right style="medium">
        <color rgb="FF000000"/>
      </right>
      <top style="thick">
        <color rgb="FF000000"/>
      </top>
      <bottom style="medium">
        <color rgb="FF000000"/>
      </bottom>
      <diagonal/>
    </border>
    <border>
      <left style="thick">
        <color rgb="FF000000"/>
      </left>
      <right/>
      <top style="thin">
        <color rgb="FF000000"/>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style="thin">
        <color rgb="FF000000"/>
      </right>
      <top style="medium">
        <color indexed="64"/>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ck">
        <color rgb="FF000000"/>
      </bottom>
      <diagonal/>
    </border>
    <border>
      <left style="medium">
        <color indexed="64"/>
      </left>
      <right style="medium">
        <color indexed="64"/>
      </right>
      <top style="thick">
        <color rgb="FF000000"/>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64"/>
      </right>
      <top style="medium">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style="medium">
        <color indexed="64"/>
      </bottom>
      <diagonal/>
    </border>
    <border>
      <left style="thin">
        <color rgb="FF000000"/>
      </left>
      <right style="medium">
        <color indexed="64"/>
      </right>
      <top/>
      <bottom style="medium">
        <color indexed="64"/>
      </bottom>
      <diagonal/>
    </border>
    <border>
      <left/>
      <right/>
      <top style="medium">
        <color indexed="64"/>
      </top>
      <bottom style="thin">
        <color rgb="FF000000"/>
      </bottom>
      <diagonal/>
    </border>
    <border>
      <left style="medium">
        <color indexed="64"/>
      </left>
      <right style="thin">
        <color indexed="64"/>
      </right>
      <top/>
      <bottom/>
      <diagonal/>
    </border>
    <border>
      <left/>
      <right style="medium">
        <color indexed="64"/>
      </right>
      <top/>
      <bottom style="thin">
        <color rgb="FF000000"/>
      </bottom>
      <diagonal/>
    </border>
    <border>
      <left style="medium">
        <color indexed="64"/>
      </left>
      <right style="thin">
        <color indexed="64"/>
      </right>
      <top/>
      <bottom style="thin">
        <color rgb="FF000000"/>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medium">
        <color rgb="FF000000"/>
      </bottom>
      <diagonal/>
    </border>
    <border>
      <left style="medium">
        <color rgb="FF000000"/>
      </left>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top/>
      <bottom style="thin">
        <color rgb="FF000000"/>
      </bottom>
      <diagonal/>
    </border>
    <border>
      <left style="medium">
        <color indexed="64"/>
      </left>
      <right/>
      <top/>
      <bottom style="medium">
        <color rgb="FF000000"/>
      </bottom>
      <diagonal/>
    </border>
    <border>
      <left/>
      <right style="medium">
        <color indexed="64"/>
      </right>
      <top/>
      <bottom style="medium">
        <color rgb="FF000000"/>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rgb="FF000000"/>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thin">
        <color rgb="FF000000"/>
      </right>
      <top style="thin">
        <color rgb="FF000000"/>
      </top>
      <bottom style="medium">
        <color indexed="64"/>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medium">
        <color indexed="64"/>
      </left>
      <right/>
      <top style="medium">
        <color indexed="64"/>
      </top>
      <bottom style="thick">
        <color rgb="FF000000"/>
      </bottom>
      <diagonal/>
    </border>
    <border>
      <left/>
      <right style="medium">
        <color indexed="64"/>
      </right>
      <top style="medium">
        <color indexed="64"/>
      </top>
      <bottom style="thick">
        <color rgb="FF00000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rgb="FF000000"/>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rgb="FF000000"/>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000000"/>
      </left>
      <right/>
      <top/>
      <bottom style="thick">
        <color rgb="FF000000"/>
      </bottom>
      <diagonal/>
    </border>
    <border>
      <left/>
      <right style="medium">
        <color indexed="64"/>
      </right>
      <top style="thin">
        <color rgb="FF000000"/>
      </top>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top style="medium">
        <color indexed="64"/>
      </top>
      <bottom style="thin">
        <color rgb="FF000000"/>
      </bottom>
      <diagonal/>
    </border>
    <border>
      <left/>
      <right style="medium">
        <color rgb="FF000000"/>
      </right>
      <top style="medium">
        <color indexed="64"/>
      </top>
      <bottom style="thin">
        <color rgb="FF000000"/>
      </bottom>
      <diagonal/>
    </border>
    <border>
      <left style="medium">
        <color indexed="64"/>
      </left>
      <right/>
      <top style="medium">
        <color rgb="FF000000"/>
      </top>
      <bottom style="medium">
        <color rgb="FF000000"/>
      </bottom>
      <diagonal/>
    </border>
    <border>
      <left style="medium">
        <color rgb="FF000000"/>
      </left>
      <right/>
      <top style="medium">
        <color indexed="64"/>
      </top>
      <bottom/>
      <diagonal/>
    </border>
    <border>
      <left style="thin">
        <color rgb="FF000000"/>
      </left>
      <right style="medium">
        <color indexed="64"/>
      </right>
      <top style="medium">
        <color rgb="FF000000"/>
      </top>
      <bottom style="thin">
        <color rgb="FF000000"/>
      </bottom>
      <diagonal/>
    </border>
    <border>
      <left style="medium">
        <color indexed="64"/>
      </left>
      <right/>
      <top style="medium">
        <color rgb="FF000000"/>
      </top>
      <bottom style="medium">
        <color indexed="64"/>
      </bottom>
      <diagonal/>
    </border>
    <border>
      <left style="thin">
        <color rgb="FF000000"/>
      </left>
      <right style="medium">
        <color indexed="64"/>
      </right>
      <top style="medium">
        <color rgb="FF000000"/>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style="medium">
        <color indexed="64"/>
      </top>
      <bottom style="medium">
        <color indexed="64"/>
      </bottom>
      <diagonal/>
    </border>
    <border>
      <left style="thin">
        <color rgb="FF000000"/>
      </left>
      <right style="thick">
        <color indexed="64"/>
      </right>
      <top style="thin">
        <color rgb="FF000000"/>
      </top>
      <bottom style="thin">
        <color rgb="FF000000"/>
      </bottom>
      <diagonal/>
    </border>
    <border>
      <left style="thick">
        <color indexed="64"/>
      </left>
      <right/>
      <top/>
      <bottom/>
      <diagonal/>
    </border>
    <border>
      <left style="thin">
        <color indexed="64"/>
      </left>
      <right/>
      <top style="medium">
        <color indexed="64"/>
      </top>
      <bottom style="medium">
        <color indexed="64"/>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style="medium">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s>
  <cellStyleXfs count="10">
    <xf numFmtId="0" fontId="0" fillId="0" borderId="0"/>
    <xf numFmtId="0" fontId="85" fillId="0" borderId="0" applyNumberFormat="0" applyFill="0" applyBorder="0" applyAlignment="0" applyProtection="0"/>
    <xf numFmtId="0" fontId="14" fillId="0" borderId="0"/>
    <xf numFmtId="44" fontId="14" fillId="0" borderId="0" applyFont="0" applyFill="0" applyBorder="0" applyAlignment="0" applyProtection="0"/>
    <xf numFmtId="9" fontId="14" fillId="0" borderId="0" applyFont="0" applyFill="0" applyBorder="0" applyAlignment="0" applyProtection="0"/>
    <xf numFmtId="0" fontId="92" fillId="0" borderId="0"/>
    <xf numFmtId="9" fontId="92" fillId="0" borderId="0" applyFont="0" applyFill="0" applyBorder="0" applyAlignment="0" applyProtection="0"/>
    <xf numFmtId="0" fontId="19" fillId="0" borderId="0"/>
    <xf numFmtId="9" fontId="19" fillId="0" borderId="0" applyFont="0" applyFill="0" applyBorder="0" applyAlignment="0" applyProtection="0"/>
    <xf numFmtId="44" fontId="19" fillId="0" borderId="0" applyFont="0" applyFill="0" applyBorder="0" applyAlignment="0" applyProtection="0"/>
  </cellStyleXfs>
  <cellXfs count="2166">
    <xf numFmtId="0" fontId="0" fillId="0" borderId="0" xfId="0" applyFont="1" applyAlignment="1"/>
    <xf numFmtId="0" fontId="2" fillId="0" borderId="0" xfId="0" applyFont="1" applyAlignment="1"/>
    <xf numFmtId="0" fontId="4" fillId="0" borderId="0" xfId="0" applyFont="1" applyAlignment="1"/>
    <xf numFmtId="0" fontId="5" fillId="0" borderId="0" xfId="0" applyFont="1"/>
    <xf numFmtId="0" fontId="6" fillId="2" borderId="0" xfId="0" applyFont="1" applyFill="1" applyAlignment="1">
      <alignment wrapText="1"/>
    </xf>
    <xf numFmtId="0" fontId="9" fillId="0" borderId="0" xfId="0" applyFont="1" applyAlignment="1">
      <alignment horizontal="center"/>
    </xf>
    <xf numFmtId="0" fontId="5" fillId="0" borderId="0" xfId="0" applyFont="1" applyAlignment="1">
      <alignment horizontal="center"/>
    </xf>
    <xf numFmtId="0" fontId="9" fillId="0" borderId="0" xfId="0" applyFont="1" applyAlignment="1"/>
    <xf numFmtId="0" fontId="11" fillId="0" borderId="0" xfId="0" applyFont="1" applyAlignment="1"/>
    <xf numFmtId="0" fontId="11" fillId="0" borderId="0" xfId="0" applyFont="1"/>
    <xf numFmtId="10" fontId="5" fillId="0" borderId="0" xfId="0" applyNumberFormat="1" applyFont="1" applyAlignment="1">
      <alignment horizontal="center"/>
    </xf>
    <xf numFmtId="10" fontId="5" fillId="0" borderId="0" xfId="0" applyNumberFormat="1" applyFont="1" applyAlignment="1">
      <alignment horizontal="center"/>
    </xf>
    <xf numFmtId="0" fontId="11" fillId="0" borderId="0" xfId="0" applyFont="1" applyAlignment="1"/>
    <xf numFmtId="0" fontId="5" fillId="0" borderId="0" xfId="0" applyFont="1" applyAlignment="1"/>
    <xf numFmtId="0" fontId="5" fillId="0" borderId="0" xfId="0" applyFont="1" applyAlignment="1"/>
    <xf numFmtId="0" fontId="9" fillId="0" borderId="0" xfId="0" applyFont="1" applyAlignment="1"/>
    <xf numFmtId="9" fontId="9" fillId="0" borderId="0" xfId="0" applyNumberFormat="1" applyFont="1" applyAlignment="1"/>
    <xf numFmtId="0" fontId="9" fillId="0" borderId="0" xfId="0" applyFont="1" applyAlignment="1"/>
    <xf numFmtId="0" fontId="9" fillId="0" borderId="0" xfId="0" quotePrefix="1" applyFont="1" applyAlignment="1"/>
    <xf numFmtId="0" fontId="2" fillId="0" borderId="0" xfId="0" applyFont="1" applyAlignment="1"/>
    <xf numFmtId="2" fontId="20" fillId="0" borderId="0" xfId="0" applyNumberFormat="1" applyFont="1" applyAlignment="1"/>
    <xf numFmtId="9" fontId="20" fillId="0" borderId="0" xfId="0" applyNumberFormat="1" applyFont="1" applyAlignment="1"/>
    <xf numFmtId="0" fontId="11" fillId="0" borderId="0" xfId="0" applyFont="1" applyAlignment="1">
      <alignment wrapText="1"/>
    </xf>
    <xf numFmtId="0" fontId="5" fillId="0" borderId="0" xfId="0" applyFont="1" applyAlignment="1"/>
    <xf numFmtId="0" fontId="11" fillId="0" borderId="0" xfId="0" applyFont="1" applyAlignment="1"/>
    <xf numFmtId="2" fontId="5" fillId="0" borderId="0" xfId="0" applyNumberFormat="1" applyFont="1" applyAlignment="1"/>
    <xf numFmtId="0" fontId="11" fillId="0" borderId="0" xfId="0" applyFont="1" applyAlignment="1">
      <alignment horizontal="center"/>
    </xf>
    <xf numFmtId="0" fontId="11" fillId="0" borderId="17" xfId="0" applyFont="1" applyBorder="1" applyAlignment="1">
      <alignment wrapText="1"/>
    </xf>
    <xf numFmtId="0" fontId="5" fillId="0" borderId="17" xfId="0" applyFont="1" applyBorder="1" applyAlignment="1"/>
    <xf numFmtId="0" fontId="11" fillId="7" borderId="17" xfId="0" applyFont="1" applyFill="1" applyBorder="1" applyAlignment="1">
      <alignment wrapText="1"/>
    </xf>
    <xf numFmtId="0" fontId="11" fillId="8" borderId="18" xfId="0" applyFont="1" applyFill="1" applyBorder="1" applyAlignment="1">
      <alignment horizontal="center"/>
    </xf>
    <xf numFmtId="0" fontId="5" fillId="0" borderId="17" xfId="0" applyFont="1" applyBorder="1" applyAlignment="1"/>
    <xf numFmtId="167" fontId="5" fillId="9" borderId="17" xfId="0" applyNumberFormat="1" applyFont="1" applyFill="1" applyBorder="1" applyAlignment="1"/>
    <xf numFmtId="167" fontId="5" fillId="0" borderId="0" xfId="0" applyNumberFormat="1" applyFont="1" applyAlignment="1"/>
    <xf numFmtId="167" fontId="5" fillId="10" borderId="21" xfId="0" applyNumberFormat="1" applyFont="1" applyFill="1" applyBorder="1" applyAlignment="1"/>
    <xf numFmtId="0" fontId="5" fillId="0" borderId="18" xfId="0" applyFont="1" applyBorder="1" applyAlignment="1">
      <alignment wrapText="1"/>
    </xf>
    <xf numFmtId="167" fontId="12" fillId="10" borderId="17" xfId="0" applyNumberFormat="1" applyFont="1" applyFill="1" applyBorder="1"/>
    <xf numFmtId="0" fontId="5" fillId="0" borderId="17" xfId="0" applyFont="1" applyBorder="1" applyAlignment="1">
      <alignment wrapText="1"/>
    </xf>
    <xf numFmtId="167" fontId="5" fillId="10" borderId="22" xfId="0" applyNumberFormat="1" applyFont="1" applyFill="1" applyBorder="1" applyAlignment="1"/>
    <xf numFmtId="44" fontId="5" fillId="0" borderId="0" xfId="0" applyNumberFormat="1" applyFont="1" applyAlignment="1"/>
    <xf numFmtId="167" fontId="5" fillId="0" borderId="17" xfId="0" applyNumberFormat="1" applyFont="1" applyBorder="1" applyAlignment="1"/>
    <xf numFmtId="0" fontId="21" fillId="0" borderId="0" xfId="0" applyFont="1" applyAlignment="1"/>
    <xf numFmtId="167" fontId="5" fillId="11" borderId="17" xfId="0" applyNumberFormat="1" applyFont="1" applyFill="1" applyBorder="1" applyAlignment="1"/>
    <xf numFmtId="167" fontId="5" fillId="11" borderId="17" xfId="0" applyNumberFormat="1" applyFont="1" applyFill="1" applyBorder="1" applyAlignment="1"/>
    <xf numFmtId="9" fontId="5" fillId="0" borderId="0" xfId="0" applyNumberFormat="1" applyFont="1" applyAlignment="1"/>
    <xf numFmtId="167" fontId="11" fillId="8" borderId="19" xfId="0" applyNumberFormat="1" applyFont="1" applyFill="1" applyBorder="1" applyAlignment="1">
      <alignment horizontal="center"/>
    </xf>
    <xf numFmtId="0" fontId="11" fillId="8" borderId="19" xfId="0" applyFont="1" applyFill="1" applyBorder="1" applyAlignment="1">
      <alignment horizontal="center"/>
    </xf>
    <xf numFmtId="0" fontId="11" fillId="8" borderId="20" xfId="0" applyFont="1" applyFill="1" applyBorder="1" applyAlignment="1">
      <alignment horizontal="center"/>
    </xf>
    <xf numFmtId="0" fontId="11" fillId="0" borderId="20" xfId="0" applyFont="1" applyBorder="1" applyAlignment="1">
      <alignment horizontal="center"/>
    </xf>
    <xf numFmtId="0" fontId="11" fillId="0" borderId="19" xfId="0" applyFont="1" applyBorder="1" applyAlignment="1">
      <alignment horizontal="center"/>
    </xf>
    <xf numFmtId="0" fontId="11" fillId="0" borderId="17" xfId="0" applyFont="1" applyBorder="1" applyAlignment="1">
      <alignment horizontal="center"/>
    </xf>
    <xf numFmtId="168" fontId="5" fillId="9" borderId="17" xfId="0" applyNumberFormat="1" applyFont="1" applyFill="1" applyBorder="1" applyAlignment="1"/>
    <xf numFmtId="168" fontId="5" fillId="9" borderId="17" xfId="0" applyNumberFormat="1" applyFont="1" applyFill="1" applyBorder="1" applyAlignment="1"/>
    <xf numFmtId="168" fontId="5" fillId="0" borderId="17" xfId="0" applyNumberFormat="1" applyFont="1" applyBorder="1" applyAlignment="1"/>
    <xf numFmtId="168" fontId="5" fillId="0" borderId="0" xfId="0" applyNumberFormat="1" applyFont="1" applyAlignment="1"/>
    <xf numFmtId="168" fontId="11" fillId="0" borderId="20" xfId="0" applyNumberFormat="1" applyFont="1" applyBorder="1" applyAlignment="1">
      <alignment horizontal="center"/>
    </xf>
    <xf numFmtId="168" fontId="11" fillId="0" borderId="19" xfId="0" applyNumberFormat="1" applyFont="1" applyBorder="1" applyAlignment="1">
      <alignment horizontal="center"/>
    </xf>
    <xf numFmtId="168" fontId="11" fillId="0" borderId="17" xfId="0" applyNumberFormat="1" applyFont="1" applyBorder="1" applyAlignment="1">
      <alignment horizontal="center"/>
    </xf>
    <xf numFmtId="0" fontId="21" fillId="0" borderId="0" xfId="0" applyFont="1" applyAlignment="1">
      <alignment horizontal="center"/>
    </xf>
    <xf numFmtId="0" fontId="5" fillId="0" borderId="0" xfId="0" applyFont="1" applyAlignment="1">
      <alignment wrapText="1"/>
    </xf>
    <xf numFmtId="44" fontId="5" fillId="0" borderId="17" xfId="0" applyNumberFormat="1" applyFont="1" applyBorder="1" applyAlignment="1"/>
    <xf numFmtId="10" fontId="5" fillId="0" borderId="0" xfId="0" applyNumberFormat="1" applyFont="1" applyAlignment="1"/>
    <xf numFmtId="168" fontId="5" fillId="7" borderId="17" xfId="0" applyNumberFormat="1" applyFont="1" applyFill="1" applyBorder="1" applyAlignment="1"/>
    <xf numFmtId="168" fontId="5" fillId="0" borderId="17" xfId="0" applyNumberFormat="1" applyFont="1" applyBorder="1" applyAlignment="1">
      <alignment horizontal="right"/>
    </xf>
    <xf numFmtId="0" fontId="5" fillId="0" borderId="23" xfId="0" applyFont="1" applyBorder="1" applyAlignment="1"/>
    <xf numFmtId="168" fontId="5" fillId="10" borderId="17" xfId="0" applyNumberFormat="1" applyFont="1" applyFill="1" applyBorder="1" applyAlignment="1"/>
    <xf numFmtId="10" fontId="22" fillId="0" borderId="0" xfId="0" applyNumberFormat="1" applyFont="1" applyAlignment="1"/>
    <xf numFmtId="0" fontId="22" fillId="0" borderId="0" xfId="0" applyFont="1"/>
    <xf numFmtId="44" fontId="5" fillId="0" borderId="17" xfId="0" applyNumberFormat="1" applyFont="1" applyBorder="1" applyAlignment="1"/>
    <xf numFmtId="0" fontId="5" fillId="0" borderId="0" xfId="0" applyFont="1" applyAlignment="1"/>
    <xf numFmtId="9" fontId="5" fillId="0" borderId="24" xfId="0" applyNumberFormat="1" applyFont="1" applyBorder="1" applyAlignment="1"/>
    <xf numFmtId="44" fontId="12" fillId="0" borderId="17" xfId="0" applyNumberFormat="1" applyFont="1" applyBorder="1"/>
    <xf numFmtId="44" fontId="5" fillId="11" borderId="22" xfId="0" applyNumberFormat="1" applyFont="1" applyFill="1" applyBorder="1" applyAlignment="1"/>
    <xf numFmtId="44" fontId="5" fillId="11" borderId="17" xfId="0" applyNumberFormat="1" applyFont="1" applyFill="1" applyBorder="1" applyAlignment="1"/>
    <xf numFmtId="44" fontId="5" fillId="9" borderId="17" xfId="0" applyNumberFormat="1" applyFont="1" applyFill="1" applyBorder="1" applyAlignment="1"/>
    <xf numFmtId="44" fontId="5" fillId="9" borderId="17" xfId="0" applyNumberFormat="1" applyFont="1" applyFill="1" applyBorder="1" applyAlignment="1"/>
    <xf numFmtId="9" fontId="5" fillId="9" borderId="17" xfId="0" applyNumberFormat="1" applyFont="1" applyFill="1" applyBorder="1" applyAlignment="1"/>
    <xf numFmtId="0" fontId="23" fillId="0" borderId="0" xfId="0" applyFont="1" applyAlignment="1"/>
    <xf numFmtId="17" fontId="23" fillId="0" borderId="0" xfId="0" applyNumberFormat="1" applyFont="1" applyAlignment="1"/>
    <xf numFmtId="1" fontId="23" fillId="0" borderId="0" xfId="0" applyNumberFormat="1" applyFont="1" applyAlignment="1"/>
    <xf numFmtId="10" fontId="23" fillId="0" borderId="0" xfId="0" applyNumberFormat="1" applyFont="1" applyAlignment="1"/>
    <xf numFmtId="0" fontId="20" fillId="0" borderId="0" xfId="0" applyFont="1" applyAlignment="1"/>
    <xf numFmtId="0" fontId="20" fillId="0" borderId="0" xfId="0" applyFont="1" applyAlignment="1"/>
    <xf numFmtId="0" fontId="11" fillId="0" borderId="24" xfId="0" applyFont="1" applyBorder="1" applyAlignment="1">
      <alignment horizontal="center"/>
    </xf>
    <xf numFmtId="0" fontId="21" fillId="0" borderId="0" xfId="0" applyFont="1" applyAlignment="1">
      <alignment horizontal="center"/>
    </xf>
    <xf numFmtId="44" fontId="20" fillId="0" borderId="0" xfId="0" applyNumberFormat="1" applyFont="1" applyAlignment="1"/>
    <xf numFmtId="169" fontId="5" fillId="0" borderId="0" xfId="0" applyNumberFormat="1" applyFont="1" applyAlignment="1"/>
    <xf numFmtId="168" fontId="20" fillId="0" borderId="0" xfId="0" applyNumberFormat="1" applyFont="1" applyAlignment="1"/>
    <xf numFmtId="168" fontId="20" fillId="0" borderId="0" xfId="0" applyNumberFormat="1" applyFont="1" applyAlignment="1"/>
    <xf numFmtId="0" fontId="11" fillId="0" borderId="24" xfId="0" applyFont="1" applyBorder="1" applyAlignment="1"/>
    <xf numFmtId="167" fontId="5" fillId="0" borderId="24" xfId="0" applyNumberFormat="1" applyFont="1" applyBorder="1" applyAlignment="1"/>
    <xf numFmtId="167" fontId="5" fillId="0" borderId="24" xfId="0" applyNumberFormat="1" applyFont="1" applyBorder="1" applyAlignment="1"/>
    <xf numFmtId="0" fontId="20" fillId="0" borderId="0" xfId="0" applyFont="1" applyAlignment="1"/>
    <xf numFmtId="167" fontId="5" fillId="0" borderId="0" xfId="0" applyNumberFormat="1" applyFont="1"/>
    <xf numFmtId="0" fontId="23" fillId="0" borderId="0" xfId="0" applyFont="1" applyAlignment="1"/>
    <xf numFmtId="9" fontId="21" fillId="0" borderId="0" xfId="0" applyNumberFormat="1" applyFont="1" applyAlignment="1"/>
    <xf numFmtId="9" fontId="5" fillId="0" borderId="0" xfId="0" applyNumberFormat="1" applyFont="1" applyAlignment="1"/>
    <xf numFmtId="167" fontId="5" fillId="0" borderId="0" xfId="0" applyNumberFormat="1" applyFont="1" applyAlignment="1"/>
    <xf numFmtId="167" fontId="5" fillId="0" borderId="24" xfId="0" applyNumberFormat="1" applyFont="1" applyBorder="1" applyAlignment="1"/>
    <xf numFmtId="170" fontId="20" fillId="0" borderId="0" xfId="0" applyNumberFormat="1" applyFont="1" applyAlignment="1"/>
    <xf numFmtId="170" fontId="5" fillId="0" borderId="0" xfId="0" applyNumberFormat="1" applyFont="1" applyAlignment="1"/>
    <xf numFmtId="0" fontId="9" fillId="0" borderId="0" xfId="0" applyFont="1" applyAlignment="1"/>
    <xf numFmtId="170" fontId="5" fillId="0" borderId="0" xfId="0" applyNumberFormat="1" applyFont="1" applyAlignment="1"/>
    <xf numFmtId="170" fontId="23" fillId="0" borderId="0" xfId="0" applyNumberFormat="1" applyFont="1" applyAlignment="1"/>
    <xf numFmtId="168" fontId="20" fillId="0" borderId="0" xfId="0" applyNumberFormat="1" applyFont="1" applyAlignment="1"/>
    <xf numFmtId="170" fontId="11" fillId="0" borderId="0" xfId="0" applyNumberFormat="1" applyFont="1" applyAlignment="1"/>
    <xf numFmtId="9" fontId="21" fillId="0" borderId="0" xfId="0" applyNumberFormat="1" applyFont="1" applyAlignment="1"/>
    <xf numFmtId="170" fontId="5" fillId="0" borderId="24" xfId="0" applyNumberFormat="1" applyFont="1" applyBorder="1" applyAlignment="1"/>
    <xf numFmtId="167" fontId="5" fillId="0" borderId="24" xfId="0" applyNumberFormat="1" applyFont="1" applyBorder="1"/>
    <xf numFmtId="10" fontId="5" fillId="0" borderId="0" xfId="0" applyNumberFormat="1" applyFont="1" applyAlignment="1">
      <alignment horizontal="center"/>
    </xf>
    <xf numFmtId="0" fontId="24" fillId="0" borderId="0" xfId="0" applyFont="1" applyAlignment="1"/>
    <xf numFmtId="0" fontId="16" fillId="0" borderId="0" xfId="0" applyFont="1" applyAlignment="1"/>
    <xf numFmtId="0" fontId="25" fillId="0" borderId="0" xfId="0" applyFont="1" applyAlignment="1"/>
    <xf numFmtId="10" fontId="20" fillId="0" borderId="0" xfId="0" applyNumberFormat="1" applyFont="1" applyAlignment="1"/>
    <xf numFmtId="10" fontId="5" fillId="0" borderId="0" xfId="0" applyNumberFormat="1" applyFont="1" applyAlignment="1"/>
    <xf numFmtId="171" fontId="5" fillId="0" borderId="0" xfId="0" applyNumberFormat="1" applyFont="1" applyAlignment="1"/>
    <xf numFmtId="0" fontId="26" fillId="2" borderId="0" xfId="0" applyFont="1" applyFill="1" applyAlignment="1">
      <alignment wrapText="1"/>
    </xf>
    <xf numFmtId="0" fontId="27" fillId="0" borderId="0" xfId="0" applyFont="1" applyAlignment="1"/>
    <xf numFmtId="44" fontId="5" fillId="0" borderId="0" xfId="0" applyNumberFormat="1" applyFont="1" applyAlignment="1"/>
    <xf numFmtId="9" fontId="27" fillId="0" borderId="0" xfId="0" applyNumberFormat="1" applyFont="1" applyAlignment="1"/>
    <xf numFmtId="0" fontId="28" fillId="0" borderId="0" xfId="0" applyFont="1" applyAlignment="1"/>
    <xf numFmtId="0" fontId="10" fillId="0" borderId="0" xfId="0" applyFont="1" applyAlignment="1"/>
    <xf numFmtId="164" fontId="5" fillId="0" borderId="0" xfId="0" applyNumberFormat="1" applyFont="1" applyAlignment="1"/>
    <xf numFmtId="10" fontId="5" fillId="0" borderId="0" xfId="0" applyNumberFormat="1" applyFont="1" applyAlignment="1"/>
    <xf numFmtId="4" fontId="5" fillId="0" borderId="17" xfId="0" applyNumberFormat="1" applyFont="1" applyBorder="1" applyAlignment="1">
      <alignment horizontal="right"/>
    </xf>
    <xf numFmtId="0" fontId="5" fillId="0" borderId="0" xfId="0" quotePrefix="1" applyFont="1" applyAlignment="1"/>
    <xf numFmtId="167" fontId="5" fillId="8" borderId="0" xfId="0" applyNumberFormat="1" applyFont="1" applyFill="1" applyAlignment="1"/>
    <xf numFmtId="4" fontId="5" fillId="0" borderId="0" xfId="0" applyNumberFormat="1" applyFont="1" applyAlignment="1"/>
    <xf numFmtId="167" fontId="5" fillId="12" borderId="0" xfId="0" applyNumberFormat="1" applyFont="1" applyFill="1" applyAlignment="1"/>
    <xf numFmtId="10" fontId="5" fillId="12" borderId="0" xfId="0" applyNumberFormat="1" applyFont="1" applyFill="1" applyAlignment="1">
      <alignment horizontal="center"/>
    </xf>
    <xf numFmtId="44" fontId="5" fillId="0" borderId="0" xfId="0" applyNumberFormat="1" applyFont="1"/>
    <xf numFmtId="172" fontId="9" fillId="0" borderId="0" xfId="0" applyNumberFormat="1" applyFont="1"/>
    <xf numFmtId="10" fontId="5" fillId="0" borderId="0" xfId="0" applyNumberFormat="1" applyFont="1"/>
    <xf numFmtId="0" fontId="11" fillId="3" borderId="7" xfId="0" applyFont="1" applyFill="1" applyBorder="1" applyAlignment="1"/>
    <xf numFmtId="0" fontId="5" fillId="3" borderId="6" xfId="0" applyFont="1" applyFill="1" applyBorder="1" applyAlignment="1"/>
    <xf numFmtId="0" fontId="5" fillId="3" borderId="28" xfId="0" applyFont="1" applyFill="1" applyBorder="1" applyAlignment="1"/>
    <xf numFmtId="0" fontId="5" fillId="3" borderId="29" xfId="0" applyFont="1" applyFill="1" applyBorder="1" applyAlignment="1"/>
    <xf numFmtId="0" fontId="5" fillId="4" borderId="30" xfId="0" applyFont="1" applyFill="1" applyBorder="1" applyAlignment="1"/>
    <xf numFmtId="9" fontId="5" fillId="0" borderId="22" xfId="0" applyNumberFormat="1" applyFont="1" applyBorder="1"/>
    <xf numFmtId="9" fontId="5" fillId="0" borderId="32" xfId="0" applyNumberFormat="1" applyFont="1" applyBorder="1"/>
    <xf numFmtId="0" fontId="5" fillId="4" borderId="33" xfId="0" applyFont="1" applyFill="1" applyBorder="1" applyAlignment="1"/>
    <xf numFmtId="9" fontId="5" fillId="0" borderId="17" xfId="0" applyNumberFormat="1" applyFont="1" applyBorder="1"/>
    <xf numFmtId="9" fontId="5" fillId="0" borderId="34" xfId="0" applyNumberFormat="1" applyFont="1" applyBorder="1"/>
    <xf numFmtId="0" fontId="5" fillId="4" borderId="11" xfId="0" applyFont="1" applyFill="1" applyBorder="1"/>
    <xf numFmtId="0" fontId="5" fillId="0" borderId="20" xfId="0" applyFont="1" applyBorder="1" applyAlignment="1"/>
    <xf numFmtId="0" fontId="5" fillId="0" borderId="17" xfId="0" applyFont="1" applyBorder="1" applyAlignment="1"/>
    <xf numFmtId="0" fontId="5" fillId="0" borderId="34" xfId="0" applyFont="1" applyBorder="1" applyAlignment="1"/>
    <xf numFmtId="0" fontId="5" fillId="4" borderId="35" xfId="0" applyFont="1" applyFill="1" applyBorder="1" applyAlignment="1"/>
    <xf numFmtId="0" fontId="11" fillId="4" borderId="15" xfId="0" applyFont="1" applyFill="1" applyBorder="1" applyAlignment="1"/>
    <xf numFmtId="10" fontId="5" fillId="0" borderId="17" xfId="0" applyNumberFormat="1" applyFont="1" applyBorder="1"/>
    <xf numFmtId="0" fontId="11" fillId="3" borderId="42" xfId="0" applyFont="1" applyFill="1" applyBorder="1" applyAlignment="1">
      <alignment horizontal="center"/>
    </xf>
    <xf numFmtId="0" fontId="11" fillId="3" borderId="43" xfId="0" applyFont="1" applyFill="1" applyBorder="1" applyAlignment="1">
      <alignment horizontal="center"/>
    </xf>
    <xf numFmtId="0" fontId="11" fillId="3" borderId="28" xfId="0" applyFont="1" applyFill="1" applyBorder="1" applyAlignment="1">
      <alignment horizontal="center"/>
    </xf>
    <xf numFmtId="0" fontId="11" fillId="3" borderId="29" xfId="0" applyFont="1" applyFill="1" applyBorder="1" applyAlignment="1">
      <alignment horizontal="center"/>
    </xf>
    <xf numFmtId="0" fontId="5" fillId="0" borderId="44" xfId="0" applyFont="1" applyBorder="1" applyAlignment="1"/>
    <xf numFmtId="3" fontId="5" fillId="0" borderId="22" xfId="0" applyNumberFormat="1" applyFont="1" applyBorder="1" applyAlignment="1">
      <alignment horizontal="center"/>
    </xf>
    <xf numFmtId="3" fontId="5" fillId="0" borderId="32" xfId="0" applyNumberFormat="1" applyFont="1" applyBorder="1" applyAlignment="1">
      <alignment horizontal="center"/>
    </xf>
    <xf numFmtId="3" fontId="9" fillId="0" borderId="0" xfId="0" applyNumberFormat="1" applyFont="1" applyAlignment="1"/>
    <xf numFmtId="10" fontId="5" fillId="0" borderId="34" xfId="0" applyNumberFormat="1" applyFont="1" applyBorder="1" applyAlignment="1">
      <alignment horizontal="center"/>
    </xf>
    <xf numFmtId="10" fontId="9" fillId="0" borderId="0" xfId="0" applyNumberFormat="1" applyFont="1" applyAlignment="1"/>
    <xf numFmtId="0" fontId="5" fillId="0" borderId="45" xfId="0" applyFont="1" applyBorder="1" applyAlignment="1"/>
    <xf numFmtId="10" fontId="5" fillId="0" borderId="17" xfId="0" applyNumberFormat="1" applyFont="1" applyBorder="1" applyAlignment="1">
      <alignment horizontal="center"/>
    </xf>
    <xf numFmtId="10" fontId="5" fillId="0" borderId="17" xfId="0" applyNumberFormat="1" applyFont="1" applyBorder="1" applyAlignment="1">
      <alignment horizontal="center"/>
    </xf>
    <xf numFmtId="173" fontId="9" fillId="0" borderId="0" xfId="0" applyNumberFormat="1" applyFont="1"/>
    <xf numFmtId="0" fontId="5" fillId="0" borderId="45" xfId="0" applyFont="1" applyBorder="1" applyAlignment="1"/>
    <xf numFmtId="10" fontId="5" fillId="0" borderId="17" xfId="0" applyNumberFormat="1" applyFont="1" applyBorder="1" applyAlignment="1">
      <alignment horizontal="center"/>
    </xf>
    <xf numFmtId="10" fontId="5" fillId="0" borderId="34" xfId="0" applyNumberFormat="1" applyFont="1" applyBorder="1" applyAlignment="1">
      <alignment horizontal="center"/>
    </xf>
    <xf numFmtId="3" fontId="5" fillId="0" borderId="17" xfId="0" applyNumberFormat="1" applyFont="1" applyBorder="1" applyAlignment="1">
      <alignment horizontal="center"/>
    </xf>
    <xf numFmtId="3" fontId="5" fillId="0" borderId="34" xfId="0" applyNumberFormat="1" applyFont="1" applyBorder="1" applyAlignment="1">
      <alignment horizontal="center"/>
    </xf>
    <xf numFmtId="3" fontId="5" fillId="0" borderId="0" xfId="0" applyNumberFormat="1" applyFont="1" applyAlignment="1"/>
    <xf numFmtId="44" fontId="9" fillId="0" borderId="0" xfId="0" applyNumberFormat="1" applyFont="1" applyAlignment="1"/>
    <xf numFmtId="44" fontId="9" fillId="0" borderId="0" xfId="0" applyNumberFormat="1" applyFont="1"/>
    <xf numFmtId="3" fontId="23" fillId="0" borderId="0" xfId="0" applyNumberFormat="1" applyFont="1" applyAlignment="1"/>
    <xf numFmtId="9" fontId="23" fillId="0" borderId="0" xfId="0" applyNumberFormat="1" applyFont="1" applyAlignment="1"/>
    <xf numFmtId="9" fontId="5" fillId="0" borderId="17" xfId="0" applyNumberFormat="1" applyFont="1" applyBorder="1" applyAlignment="1">
      <alignment horizontal="center"/>
    </xf>
    <xf numFmtId="9" fontId="5" fillId="13" borderId="17" xfId="0" applyNumberFormat="1" applyFont="1" applyFill="1" applyBorder="1" applyAlignment="1">
      <alignment horizontal="center"/>
    </xf>
    <xf numFmtId="9" fontId="5" fillId="13" borderId="34" xfId="0" applyNumberFormat="1" applyFont="1" applyFill="1" applyBorder="1" applyAlignment="1">
      <alignment horizontal="center"/>
    </xf>
    <xf numFmtId="164" fontId="23" fillId="0" borderId="0" xfId="0" applyNumberFormat="1" applyFont="1" applyAlignment="1"/>
    <xf numFmtId="0" fontId="11" fillId="14" borderId="45" xfId="0" applyFont="1" applyFill="1" applyBorder="1" applyAlignment="1"/>
    <xf numFmtId="3" fontId="11" fillId="14" borderId="17" xfId="0" applyNumberFormat="1" applyFont="1" applyFill="1" applyBorder="1" applyAlignment="1">
      <alignment horizontal="center"/>
    </xf>
    <xf numFmtId="3" fontId="11" fillId="14" borderId="17" xfId="0" applyNumberFormat="1" applyFont="1" applyFill="1" applyBorder="1" applyAlignment="1">
      <alignment horizontal="center"/>
    </xf>
    <xf numFmtId="165" fontId="5" fillId="0" borderId="0" xfId="0" applyNumberFormat="1" applyFont="1" applyAlignment="1"/>
    <xf numFmtId="165" fontId="9" fillId="0" borderId="0" xfId="0" applyNumberFormat="1" applyFont="1" applyAlignment="1"/>
    <xf numFmtId="165" fontId="23" fillId="0" borderId="0" xfId="0" applyNumberFormat="1" applyFont="1" applyAlignment="1"/>
    <xf numFmtId="174" fontId="5" fillId="0" borderId="21" xfId="0" applyNumberFormat="1" applyFont="1" applyBorder="1" applyAlignment="1">
      <alignment horizontal="center"/>
    </xf>
    <xf numFmtId="174" fontId="5" fillId="0" borderId="46" xfId="0" applyNumberFormat="1" applyFont="1" applyBorder="1" applyAlignment="1">
      <alignment horizontal="center"/>
    </xf>
    <xf numFmtId="0" fontId="9" fillId="0" borderId="0" xfId="0" applyFont="1"/>
    <xf numFmtId="164" fontId="5" fillId="0" borderId="0" xfId="0" applyNumberFormat="1" applyFont="1" applyAlignment="1"/>
    <xf numFmtId="164" fontId="9" fillId="0" borderId="0" xfId="0" applyNumberFormat="1" applyFont="1" applyAlignment="1"/>
    <xf numFmtId="164" fontId="29" fillId="0" borderId="0" xfId="0" applyNumberFormat="1" applyFont="1" applyAlignment="1"/>
    <xf numFmtId="0" fontId="11" fillId="0" borderId="47" xfId="0" applyFont="1" applyBorder="1" applyAlignment="1"/>
    <xf numFmtId="174" fontId="5" fillId="0" borderId="22" xfId="0" applyNumberFormat="1" applyFont="1" applyBorder="1" applyAlignment="1">
      <alignment horizontal="center"/>
    </xf>
    <xf numFmtId="174" fontId="5" fillId="0" borderId="32" xfId="0" applyNumberFormat="1" applyFont="1" applyBorder="1" applyAlignment="1">
      <alignment horizontal="center"/>
    </xf>
    <xf numFmtId="0" fontId="5" fillId="0" borderId="48" xfId="0" applyFont="1" applyBorder="1" applyAlignment="1"/>
    <xf numFmtId="167" fontId="5" fillId="0" borderId="37" xfId="0" applyNumberFormat="1" applyFont="1" applyBorder="1" applyAlignment="1">
      <alignment horizontal="center"/>
    </xf>
    <xf numFmtId="167" fontId="5" fillId="0" borderId="38" xfId="0" applyNumberFormat="1" applyFont="1" applyBorder="1" applyAlignment="1">
      <alignment horizontal="center"/>
    </xf>
    <xf numFmtId="0" fontId="30" fillId="6" borderId="0" xfId="0" applyFont="1" applyFill="1" applyAlignment="1"/>
    <xf numFmtId="0" fontId="31" fillId="0" borderId="0" xfId="0" applyFont="1" applyAlignment="1">
      <alignment horizontal="center"/>
    </xf>
    <xf numFmtId="3" fontId="9" fillId="0" borderId="0" xfId="0" applyNumberFormat="1" applyFont="1" applyAlignment="1">
      <alignment horizontal="right"/>
    </xf>
    <xf numFmtId="0" fontId="5" fillId="0" borderId="12" xfId="0" applyFont="1" applyBorder="1" applyAlignment="1"/>
    <xf numFmtId="10" fontId="9" fillId="0" borderId="0" xfId="0" applyNumberFormat="1" applyFont="1" applyAlignment="1">
      <alignment horizontal="right"/>
    </xf>
    <xf numFmtId="164" fontId="5" fillId="0" borderId="8" xfId="0" applyNumberFormat="1" applyFont="1" applyBorder="1" applyAlignment="1"/>
    <xf numFmtId="0" fontId="5" fillId="0" borderId="8" xfId="0" applyFont="1" applyBorder="1" applyAlignment="1"/>
    <xf numFmtId="9" fontId="9" fillId="0" borderId="0" xfId="0" applyNumberFormat="1" applyFont="1" applyAlignment="1">
      <alignment horizontal="right"/>
    </xf>
    <xf numFmtId="0" fontId="9" fillId="0" borderId="0" xfId="0" applyFont="1" applyAlignment="1">
      <alignment horizontal="right"/>
    </xf>
    <xf numFmtId="0" fontId="9" fillId="0" borderId="0" xfId="0" applyFont="1" applyAlignment="1">
      <alignment horizontal="right"/>
    </xf>
    <xf numFmtId="9" fontId="5" fillId="0" borderId="0" xfId="0" applyNumberFormat="1" applyFont="1" applyAlignment="1">
      <alignment horizontal="center"/>
    </xf>
    <xf numFmtId="44" fontId="5" fillId="0" borderId="0" xfId="0" applyNumberFormat="1" applyFont="1" applyAlignment="1">
      <alignment horizontal="center"/>
    </xf>
    <xf numFmtId="44" fontId="11" fillId="0" borderId="0" xfId="0" applyNumberFormat="1" applyFont="1" applyAlignment="1">
      <alignment horizontal="center"/>
    </xf>
    <xf numFmtId="0" fontId="11" fillId="0" borderId="0" xfId="0" applyFont="1" applyAlignment="1">
      <alignment horizontal="center" wrapText="1"/>
    </xf>
    <xf numFmtId="44" fontId="5" fillId="0" borderId="0" xfId="0" applyNumberFormat="1" applyFont="1" applyAlignment="1">
      <alignment horizontal="center"/>
    </xf>
    <xf numFmtId="44" fontId="12" fillId="0" borderId="0" xfId="0" applyNumberFormat="1" applyFont="1" applyAlignment="1">
      <alignment horizontal="center"/>
    </xf>
    <xf numFmtId="0" fontId="11" fillId="3" borderId="43" xfId="0" applyFont="1" applyFill="1" applyBorder="1" applyAlignment="1"/>
    <xf numFmtId="0" fontId="11" fillId="3" borderId="28" xfId="0" applyFont="1" applyFill="1" applyBorder="1" applyAlignment="1">
      <alignment horizontal="center" wrapText="1"/>
    </xf>
    <xf numFmtId="0" fontId="11" fillId="3" borderId="29" xfId="0" applyFont="1" applyFill="1" applyBorder="1" applyAlignment="1">
      <alignment horizontal="center" wrapText="1"/>
    </xf>
    <xf numFmtId="0" fontId="5" fillId="4" borderId="44" xfId="0" applyFont="1" applyFill="1" applyBorder="1" applyAlignment="1"/>
    <xf numFmtId="44" fontId="5" fillId="0" borderId="22" xfId="0" applyNumberFormat="1" applyFont="1" applyBorder="1" applyAlignment="1">
      <alignment horizontal="center"/>
    </xf>
    <xf numFmtId="44" fontId="5" fillId="0" borderId="32" xfId="0" applyNumberFormat="1" applyFont="1" applyBorder="1" applyAlignment="1">
      <alignment horizontal="center"/>
    </xf>
    <xf numFmtId="0" fontId="5" fillId="4" borderId="7" xfId="0" applyFont="1" applyFill="1" applyBorder="1" applyAlignment="1"/>
    <xf numFmtId="44" fontId="32" fillId="4" borderId="13" xfId="0" applyNumberFormat="1" applyFont="1" applyFill="1" applyBorder="1" applyAlignment="1">
      <alignment horizontal="center"/>
    </xf>
    <xf numFmtId="0" fontId="5" fillId="4" borderId="48" xfId="0" applyFont="1" applyFill="1" applyBorder="1" applyAlignment="1"/>
    <xf numFmtId="44" fontId="5" fillId="0" borderId="37" xfId="0" applyNumberFormat="1" applyFont="1" applyBorder="1" applyAlignment="1">
      <alignment horizontal="center"/>
    </xf>
    <xf numFmtId="44" fontId="5" fillId="0" borderId="38" xfId="0" applyNumberFormat="1" applyFont="1" applyBorder="1" applyAlignment="1">
      <alignment horizontal="center"/>
    </xf>
    <xf numFmtId="164" fontId="5" fillId="4" borderId="11" xfId="0" applyNumberFormat="1" applyFont="1" applyFill="1" applyBorder="1" applyAlignment="1"/>
    <xf numFmtId="0" fontId="5" fillId="6" borderId="9" xfId="0" applyFont="1" applyFill="1" applyBorder="1" applyAlignment="1"/>
    <xf numFmtId="0" fontId="11" fillId="4" borderId="44" xfId="0" applyFont="1" applyFill="1" applyBorder="1" applyAlignment="1"/>
    <xf numFmtId="9" fontId="5" fillId="0" borderId="22" xfId="0" applyNumberFormat="1" applyFont="1" applyBorder="1" applyAlignment="1">
      <alignment horizontal="center"/>
    </xf>
    <xf numFmtId="44" fontId="11" fillId="2" borderId="22" xfId="0" applyNumberFormat="1" applyFont="1" applyFill="1" applyBorder="1" applyAlignment="1">
      <alignment horizontal="center"/>
    </xf>
    <xf numFmtId="0" fontId="5" fillId="0" borderId="22" xfId="0" applyFont="1" applyBorder="1" applyAlignment="1">
      <alignment horizontal="center"/>
    </xf>
    <xf numFmtId="10" fontId="21" fillId="0" borderId="0" xfId="0" applyNumberFormat="1" applyFont="1" applyAlignment="1">
      <alignment horizontal="center"/>
    </xf>
    <xf numFmtId="0" fontId="5" fillId="4" borderId="11" xfId="0" applyFont="1" applyFill="1" applyBorder="1" applyAlignment="1"/>
    <xf numFmtId="166" fontId="5" fillId="6" borderId="9" xfId="0" applyNumberFormat="1" applyFont="1" applyFill="1" applyBorder="1" applyAlignment="1"/>
    <xf numFmtId="0" fontId="11" fillId="4" borderId="48" xfId="0" applyFont="1" applyFill="1" applyBorder="1" applyAlignment="1"/>
    <xf numFmtId="0" fontId="5" fillId="0" borderId="37" xfId="0" applyFont="1" applyBorder="1" applyAlignment="1">
      <alignment horizontal="center"/>
    </xf>
    <xf numFmtId="44" fontId="11" fillId="2" borderId="37" xfId="0" applyNumberFormat="1" applyFont="1" applyFill="1" applyBorder="1" applyAlignment="1">
      <alignment horizontal="center"/>
    </xf>
    <xf numFmtId="0" fontId="5" fillId="0" borderId="38" xfId="0" applyFont="1" applyBorder="1" applyAlignment="1">
      <alignment horizontal="center"/>
    </xf>
    <xf numFmtId="0" fontId="5" fillId="4" borderId="15" xfId="0" applyFont="1" applyFill="1" applyBorder="1" applyAlignment="1"/>
    <xf numFmtId="0" fontId="5" fillId="6" borderId="13" xfId="0" applyFont="1" applyFill="1" applyBorder="1" applyAlignment="1"/>
    <xf numFmtId="0" fontId="33" fillId="0" borderId="0" xfId="0" applyFont="1" applyAlignment="1"/>
    <xf numFmtId="10" fontId="5" fillId="0" borderId="0" xfId="0" applyNumberFormat="1" applyFont="1" applyAlignment="1">
      <alignment horizontal="center"/>
    </xf>
    <xf numFmtId="0" fontId="11" fillId="3" borderId="49" xfId="0" applyFont="1" applyFill="1" applyBorder="1" applyAlignment="1">
      <alignment horizontal="center" wrapText="1"/>
    </xf>
    <xf numFmtId="44" fontId="5" fillId="0" borderId="51" xfId="0" applyNumberFormat="1" applyFont="1" applyBorder="1" applyAlignment="1">
      <alignment horizontal="center"/>
    </xf>
    <xf numFmtId="44" fontId="5" fillId="0" borderId="52" xfId="0" applyNumberFormat="1" applyFont="1" applyBorder="1" applyAlignment="1">
      <alignment horizontal="center"/>
    </xf>
    <xf numFmtId="0" fontId="5" fillId="4" borderId="45" xfId="0" applyFont="1" applyFill="1" applyBorder="1" applyAlignment="1"/>
    <xf numFmtId="44" fontId="5" fillId="0" borderId="17" xfId="0" applyNumberFormat="1" applyFont="1" applyBorder="1" applyAlignment="1">
      <alignment horizontal="center"/>
    </xf>
    <xf numFmtId="44" fontId="5" fillId="0" borderId="53" xfId="0" applyNumberFormat="1" applyFont="1" applyBorder="1" applyAlignment="1">
      <alignment horizontal="center"/>
    </xf>
    <xf numFmtId="44" fontId="5" fillId="0" borderId="55" xfId="0" applyNumberFormat="1" applyFont="1" applyBorder="1" applyAlignment="1">
      <alignment horizontal="center"/>
    </xf>
    <xf numFmtId="44" fontId="5" fillId="0" borderId="13" xfId="0" applyNumberFormat="1" applyFont="1" applyBorder="1" applyAlignment="1">
      <alignment horizontal="center"/>
    </xf>
    <xf numFmtId="44" fontId="5" fillId="0" borderId="56" xfId="0" applyNumberFormat="1" applyFont="1" applyBorder="1" applyAlignment="1">
      <alignment horizontal="center"/>
    </xf>
    <xf numFmtId="44" fontId="12" fillId="0" borderId="22" xfId="0" applyNumberFormat="1" applyFont="1" applyBorder="1" applyAlignment="1">
      <alignment horizontal="center"/>
    </xf>
    <xf numFmtId="44" fontId="12" fillId="0" borderId="17" xfId="0" applyNumberFormat="1" applyFont="1" applyBorder="1" applyAlignment="1">
      <alignment horizontal="center"/>
    </xf>
    <xf numFmtId="44" fontId="12" fillId="0" borderId="37" xfId="0" applyNumberFormat="1" applyFont="1" applyBorder="1" applyAlignment="1">
      <alignment horizontal="center"/>
    </xf>
    <xf numFmtId="44" fontId="5" fillId="0" borderId="41" xfId="0" applyNumberFormat="1" applyFont="1" applyBorder="1" applyAlignment="1">
      <alignment horizontal="center"/>
    </xf>
    <xf numFmtId="0" fontId="11" fillId="3" borderId="7" xfId="0" applyFont="1" applyFill="1" applyBorder="1" applyAlignment="1">
      <alignment horizontal="center"/>
    </xf>
    <xf numFmtId="0" fontId="11" fillId="4" borderId="11" xfId="0" applyFont="1" applyFill="1" applyBorder="1" applyAlignment="1">
      <alignment horizontal="center"/>
    </xf>
    <xf numFmtId="0" fontId="5" fillId="0" borderId="9" xfId="0" applyFont="1" applyBorder="1" applyAlignment="1">
      <alignment horizontal="center"/>
    </xf>
    <xf numFmtId="0" fontId="34" fillId="0" borderId="11" xfId="0" applyFont="1" applyBorder="1" applyAlignment="1">
      <alignment horizontal="center"/>
    </xf>
    <xf numFmtId="0" fontId="17" fillId="4" borderId="11" xfId="0" applyFont="1" applyFill="1" applyBorder="1" applyAlignment="1">
      <alignment wrapText="1"/>
    </xf>
    <xf numFmtId="10" fontId="5" fillId="0" borderId="9" xfId="0" applyNumberFormat="1" applyFont="1" applyBorder="1" applyAlignment="1">
      <alignment horizontal="center"/>
    </xf>
    <xf numFmtId="0" fontId="11" fillId="4" borderId="11" xfId="0" applyFont="1" applyFill="1" applyBorder="1" applyAlignment="1"/>
    <xf numFmtId="0" fontId="11" fillId="4" borderId="11" xfId="0" applyFont="1" applyFill="1" applyBorder="1" applyAlignment="1">
      <alignment wrapText="1"/>
    </xf>
    <xf numFmtId="10" fontId="5" fillId="0" borderId="24" xfId="0" applyNumberFormat="1" applyFont="1" applyBorder="1" applyAlignment="1">
      <alignment horizontal="center"/>
    </xf>
    <xf numFmtId="10" fontId="5" fillId="0" borderId="52" xfId="0" applyNumberFormat="1" applyFont="1" applyBorder="1" applyAlignment="1">
      <alignment horizontal="center"/>
    </xf>
    <xf numFmtId="0" fontId="35" fillId="0" borderId="0" xfId="0" applyFont="1" applyAlignment="1"/>
    <xf numFmtId="0" fontId="36" fillId="0" borderId="0" xfId="0" applyFont="1" applyAlignment="1">
      <alignment horizontal="center"/>
    </xf>
    <xf numFmtId="0" fontId="10" fillId="0" borderId="0" xfId="0" applyFont="1"/>
    <xf numFmtId="0" fontId="36" fillId="0" borderId="0" xfId="0" applyFont="1" applyAlignment="1">
      <alignment horizontal="center" wrapText="1"/>
    </xf>
    <xf numFmtId="0" fontId="37" fillId="0" borderId="0" xfId="0" applyFont="1" applyAlignment="1"/>
    <xf numFmtId="0" fontId="11" fillId="0" borderId="0" xfId="0" applyFont="1" applyAlignment="1">
      <alignment horizontal="center"/>
    </xf>
    <xf numFmtId="0" fontId="40" fillId="6" borderId="0" xfId="0" applyFont="1" applyFill="1"/>
    <xf numFmtId="0" fontId="31" fillId="0" borderId="0" xfId="0" applyFont="1" applyAlignment="1"/>
    <xf numFmtId="0" fontId="11" fillId="0" borderId="0" xfId="0" applyFont="1" applyAlignment="1">
      <alignment wrapText="1"/>
    </xf>
    <xf numFmtId="165" fontId="5" fillId="0" borderId="0" xfId="0" applyNumberFormat="1" applyFont="1"/>
    <xf numFmtId="0" fontId="5" fillId="0" borderId="24" xfId="0" applyFont="1" applyBorder="1"/>
    <xf numFmtId="10" fontId="34" fillId="0" borderId="0" xfId="0" applyNumberFormat="1" applyFont="1"/>
    <xf numFmtId="0" fontId="12" fillId="0" borderId="0" xfId="0" applyFont="1"/>
    <xf numFmtId="0" fontId="5" fillId="18" borderId="24" xfId="0" applyFont="1" applyFill="1" applyBorder="1"/>
    <xf numFmtId="0" fontId="40" fillId="6" borderId="24" xfId="0" applyFont="1" applyFill="1" applyBorder="1"/>
    <xf numFmtId="165" fontId="34" fillId="14" borderId="24" xfId="0" applyNumberFormat="1" applyFont="1" applyFill="1" applyBorder="1"/>
    <xf numFmtId="0" fontId="34" fillId="0" borderId="17" xfId="0" applyFont="1" applyBorder="1" applyAlignment="1">
      <alignment horizontal="center" wrapText="1"/>
    </xf>
    <xf numFmtId="0" fontId="5" fillId="0" borderId="17" xfId="0" applyFont="1" applyBorder="1"/>
    <xf numFmtId="0" fontId="11" fillId="0" borderId="17" xfId="0" applyFont="1" applyBorder="1" applyAlignment="1">
      <alignment horizontal="center" wrapText="1"/>
    </xf>
    <xf numFmtId="0" fontId="11" fillId="0" borderId="17" xfId="0" applyFont="1" applyBorder="1" applyAlignment="1">
      <alignment wrapText="1"/>
    </xf>
    <xf numFmtId="0" fontId="12" fillId="0" borderId="17" xfId="0" applyFont="1" applyBorder="1" applyAlignment="1">
      <alignment horizontal="left" wrapText="1"/>
    </xf>
    <xf numFmtId="0" fontId="5" fillId="0" borderId="17" xfId="0" applyFont="1" applyBorder="1" applyAlignment="1">
      <alignment wrapText="1"/>
    </xf>
    <xf numFmtId="165" fontId="5" fillId="0" borderId="17" xfId="0" applyNumberFormat="1" applyFont="1" applyBorder="1" applyAlignment="1">
      <alignment wrapText="1"/>
    </xf>
    <xf numFmtId="0" fontId="5" fillId="0" borderId="27" xfId="0" applyFont="1" applyBorder="1"/>
    <xf numFmtId="165" fontId="5" fillId="0" borderId="17" xfId="0" applyNumberFormat="1" applyFont="1" applyBorder="1"/>
    <xf numFmtId="165" fontId="34" fillId="0" borderId="17" xfId="0" applyNumberFormat="1" applyFont="1" applyBorder="1" applyAlignment="1">
      <alignment wrapText="1"/>
    </xf>
    <xf numFmtId="0" fontId="17" fillId="0" borderId="17" xfId="0" applyFont="1" applyBorder="1" applyAlignment="1">
      <alignment horizontal="left" wrapText="1"/>
    </xf>
    <xf numFmtId="165" fontId="17" fillId="0" borderId="17" xfId="0" applyNumberFormat="1" applyFont="1" applyBorder="1" applyAlignment="1">
      <alignment horizontal="left" wrapText="1"/>
    </xf>
    <xf numFmtId="165" fontId="34" fillId="0" borderId="17" xfId="0" applyNumberFormat="1" applyFont="1" applyBorder="1"/>
    <xf numFmtId="10" fontId="34" fillId="0" borderId="17" xfId="0" applyNumberFormat="1" applyFont="1" applyBorder="1"/>
    <xf numFmtId="0" fontId="5" fillId="6" borderId="0" xfId="0" applyFont="1" applyFill="1"/>
    <xf numFmtId="165" fontId="5" fillId="6" borderId="17" xfId="0" applyNumberFormat="1" applyFont="1" applyFill="1" applyBorder="1" applyAlignment="1">
      <alignment wrapText="1"/>
    </xf>
    <xf numFmtId="0" fontId="5" fillId="6" borderId="27" xfId="0" applyFont="1" applyFill="1" applyBorder="1"/>
    <xf numFmtId="0" fontId="45" fillId="0" borderId="0" xfId="0" applyFont="1" applyAlignment="1"/>
    <xf numFmtId="0" fontId="46" fillId="18" borderId="24" xfId="0" applyFont="1" applyFill="1" applyBorder="1"/>
    <xf numFmtId="0" fontId="34" fillId="0" borderId="0" xfId="0" applyFont="1" applyAlignment="1">
      <alignment horizontal="center" wrapText="1"/>
    </xf>
    <xf numFmtId="0" fontId="11" fillId="0" borderId="17" xfId="0" applyFont="1" applyBorder="1" applyAlignment="1">
      <alignment vertical="top" wrapText="1"/>
    </xf>
    <xf numFmtId="165" fontId="11" fillId="0" borderId="17" xfId="0" applyNumberFormat="1" applyFont="1" applyBorder="1" applyAlignment="1">
      <alignment horizontal="center" vertical="top" wrapText="1"/>
    </xf>
    <xf numFmtId="0" fontId="11" fillId="0" borderId="17" xfId="0" applyFont="1" applyBorder="1" applyAlignment="1">
      <alignment horizontal="center" vertical="top" wrapText="1"/>
    </xf>
    <xf numFmtId="164" fontId="11" fillId="0" borderId="17" xfId="0" applyNumberFormat="1" applyFont="1" applyBorder="1" applyAlignment="1">
      <alignment horizontal="center" vertical="top" wrapText="1"/>
    </xf>
    <xf numFmtId="164" fontId="17" fillId="0" borderId="17" xfId="0" applyNumberFormat="1" applyFont="1" applyBorder="1" applyAlignment="1">
      <alignment horizontal="center" vertical="top" wrapText="1"/>
    </xf>
    <xf numFmtId="0" fontId="5" fillId="0" borderId="17" xfId="0" applyFont="1" applyBorder="1" applyAlignment="1">
      <alignment vertical="top" wrapText="1"/>
    </xf>
    <xf numFmtId="9" fontId="5" fillId="0" borderId="17" xfId="0" applyNumberFormat="1" applyFont="1" applyBorder="1" applyAlignment="1">
      <alignment horizontal="center" vertical="top"/>
    </xf>
    <xf numFmtId="4" fontId="12" fillId="6" borderId="17" xfId="0" applyNumberFormat="1" applyFont="1" applyFill="1" applyBorder="1" applyAlignment="1"/>
    <xf numFmtId="165" fontId="5" fillId="14" borderId="17" xfId="0" applyNumberFormat="1" applyFont="1" applyFill="1" applyBorder="1"/>
    <xf numFmtId="0" fontId="5" fillId="0" borderId="17" xfId="0" applyFont="1" applyBorder="1" applyAlignment="1">
      <alignment vertical="top"/>
    </xf>
    <xf numFmtId="4" fontId="12" fillId="0" borderId="17" xfId="0" applyNumberFormat="1" applyFont="1" applyBorder="1"/>
    <xf numFmtId="4" fontId="12" fillId="0" borderId="17" xfId="0" applyNumberFormat="1" applyFont="1" applyBorder="1" applyAlignment="1"/>
    <xf numFmtId="10" fontId="11" fillId="2" borderId="17" xfId="0" applyNumberFormat="1" applyFont="1" applyFill="1" applyBorder="1"/>
    <xf numFmtId="0" fontId="12" fillId="0" borderId="0" xfId="0" applyFont="1" applyAlignment="1"/>
    <xf numFmtId="0" fontId="47" fillId="0" borderId="0" xfId="0" applyFont="1"/>
    <xf numFmtId="165" fontId="5" fillId="0" borderId="24" xfId="0" applyNumberFormat="1" applyFont="1" applyBorder="1" applyAlignment="1"/>
    <xf numFmtId="0" fontId="11" fillId="0" borderId="18" xfId="0" applyFont="1" applyBorder="1" applyAlignment="1">
      <alignment horizontal="center" vertical="top" wrapText="1"/>
    </xf>
    <xf numFmtId="10" fontId="5" fillId="0" borderId="18" xfId="0" applyNumberFormat="1" applyFont="1" applyBorder="1"/>
    <xf numFmtId="10" fontId="11" fillId="2" borderId="18" xfId="0" applyNumberFormat="1" applyFont="1" applyFill="1" applyBorder="1"/>
    <xf numFmtId="165" fontId="5" fillId="0" borderId="0" xfId="0" applyNumberFormat="1" applyFont="1" applyAlignment="1">
      <alignment wrapText="1"/>
    </xf>
    <xf numFmtId="165" fontId="34" fillId="0" borderId="0" xfId="0" applyNumberFormat="1" applyFont="1" applyAlignment="1">
      <alignment wrapText="1"/>
    </xf>
    <xf numFmtId="0" fontId="48" fillId="6" borderId="0" xfId="0" applyFont="1" applyFill="1"/>
    <xf numFmtId="0" fontId="49" fillId="0" borderId="0" xfId="0" applyFont="1" applyAlignment="1">
      <alignment horizontal="center"/>
    </xf>
    <xf numFmtId="2" fontId="9" fillId="0" borderId="0" xfId="0" applyNumberFormat="1" applyFont="1"/>
    <xf numFmtId="0" fontId="5" fillId="0" borderId="43" xfId="0" applyFont="1" applyBorder="1" applyAlignment="1"/>
    <xf numFmtId="0" fontId="5" fillId="0" borderId="28" xfId="0" applyFont="1" applyBorder="1" applyAlignment="1"/>
    <xf numFmtId="0" fontId="11" fillId="4" borderId="44" xfId="0" applyFont="1" applyFill="1" applyBorder="1" applyAlignment="1"/>
    <xf numFmtId="0" fontId="5" fillId="4" borderId="22" xfId="0" applyFont="1" applyFill="1" applyBorder="1" applyAlignment="1"/>
    <xf numFmtId="164" fontId="5" fillId="4" borderId="22" xfId="0" applyNumberFormat="1" applyFont="1" applyFill="1" applyBorder="1" applyAlignment="1"/>
    <xf numFmtId="164" fontId="5" fillId="4" borderId="22" xfId="0" applyNumberFormat="1" applyFont="1" applyFill="1" applyBorder="1" applyAlignment="1">
      <alignment horizontal="right"/>
    </xf>
    <xf numFmtId="0" fontId="5" fillId="4" borderId="32" xfId="0" applyFont="1" applyFill="1" applyBorder="1" applyAlignment="1"/>
    <xf numFmtId="3" fontId="11" fillId="4" borderId="20" xfId="0" applyNumberFormat="1" applyFont="1" applyFill="1" applyBorder="1" applyAlignment="1">
      <alignment horizontal="center"/>
    </xf>
    <xf numFmtId="10" fontId="12" fillId="6" borderId="17" xfId="0" applyNumberFormat="1" applyFont="1" applyFill="1" applyBorder="1" applyAlignment="1">
      <alignment horizontal="center"/>
    </xf>
    <xf numFmtId="3" fontId="5" fillId="0" borderId="17" xfId="0" applyNumberFormat="1" applyFont="1" applyBorder="1" applyAlignment="1">
      <alignment horizontal="right"/>
    </xf>
    <xf numFmtId="2" fontId="5" fillId="0" borderId="0" xfId="0" applyNumberFormat="1" applyFont="1" applyAlignment="1">
      <alignment horizontal="center"/>
    </xf>
    <xf numFmtId="0" fontId="5" fillId="0" borderId="17" xfId="0" applyFont="1" applyBorder="1" applyAlignment="1">
      <alignment horizontal="center"/>
    </xf>
    <xf numFmtId="0" fontId="11" fillId="4" borderId="45" xfId="0" applyFont="1" applyFill="1" applyBorder="1" applyAlignment="1"/>
    <xf numFmtId="0" fontId="5" fillId="4" borderId="17" xfId="0" applyFont="1" applyFill="1" applyBorder="1" applyAlignment="1"/>
    <xf numFmtId="164" fontId="5" fillId="4" borderId="17" xfId="0" applyNumberFormat="1" applyFont="1" applyFill="1" applyBorder="1" applyAlignment="1"/>
    <xf numFmtId="164" fontId="5" fillId="4" borderId="17" xfId="0" applyNumberFormat="1" applyFont="1" applyFill="1" applyBorder="1" applyAlignment="1">
      <alignment horizontal="right"/>
    </xf>
    <xf numFmtId="3" fontId="5" fillId="4" borderId="17" xfId="0" applyNumberFormat="1" applyFont="1" applyFill="1" applyBorder="1" applyAlignment="1">
      <alignment horizontal="right"/>
    </xf>
    <xf numFmtId="4" fontId="5" fillId="4" borderId="17" xfId="0" applyNumberFormat="1" applyFont="1" applyFill="1" applyBorder="1" applyAlignment="1"/>
    <xf numFmtId="44" fontId="5" fillId="4" borderId="34" xfId="0" applyNumberFormat="1" applyFont="1" applyFill="1" applyBorder="1" applyAlignment="1"/>
    <xf numFmtId="2" fontId="5" fillId="0" borderId="0" xfId="0" applyNumberFormat="1" applyFont="1" applyAlignment="1">
      <alignment horizontal="center"/>
    </xf>
    <xf numFmtId="164" fontId="5" fillId="0" borderId="17" xfId="0" applyNumberFormat="1" applyFont="1" applyBorder="1" applyAlignment="1">
      <alignment horizontal="right"/>
    </xf>
    <xf numFmtId="44" fontId="5" fillId="0" borderId="34" xfId="0" applyNumberFormat="1" applyFont="1" applyBorder="1" applyAlignment="1">
      <alignment horizontal="right"/>
    </xf>
    <xf numFmtId="1" fontId="5" fillId="0" borderId="0" xfId="0" applyNumberFormat="1" applyFont="1" applyAlignment="1">
      <alignment horizontal="center"/>
    </xf>
    <xf numFmtId="164" fontId="5" fillId="0" borderId="17" xfId="0" applyNumberFormat="1" applyFont="1" applyBorder="1" applyAlignment="1">
      <alignment horizontal="right"/>
    </xf>
    <xf numFmtId="0" fontId="5" fillId="0" borderId="60" xfId="0" applyFont="1" applyBorder="1" applyAlignment="1"/>
    <xf numFmtId="0" fontId="5" fillId="0" borderId="21" xfId="0" applyFont="1" applyBorder="1" applyAlignment="1"/>
    <xf numFmtId="0" fontId="5" fillId="0" borderId="21" xfId="0" applyFont="1" applyBorder="1" applyAlignment="1"/>
    <xf numFmtId="164" fontId="5" fillId="0" borderId="21" xfId="0" applyNumberFormat="1" applyFont="1" applyBorder="1" applyAlignment="1">
      <alignment horizontal="right"/>
    </xf>
    <xf numFmtId="4" fontId="5" fillId="0" borderId="21" xfId="0" applyNumberFormat="1" applyFont="1" applyBorder="1" applyAlignment="1">
      <alignment horizontal="right"/>
    </xf>
    <xf numFmtId="44" fontId="5" fillId="0" borderId="46" xfId="0" applyNumberFormat="1" applyFont="1" applyBorder="1" applyAlignment="1">
      <alignment horizontal="right"/>
    </xf>
    <xf numFmtId="0" fontId="52" fillId="2" borderId="43" xfId="0" applyFont="1" applyFill="1" applyBorder="1" applyAlignment="1"/>
    <xf numFmtId="0" fontId="5" fillId="2" borderId="28" xfId="0" applyFont="1" applyFill="1" applyBorder="1" applyAlignment="1"/>
    <xf numFmtId="0" fontId="11" fillId="2" borderId="28" xfId="0" applyFont="1" applyFill="1" applyBorder="1" applyAlignment="1">
      <alignment horizontal="right"/>
    </xf>
    <xf numFmtId="164" fontId="11" fillId="2" borderId="28" xfId="0" applyNumberFormat="1" applyFont="1" applyFill="1" applyBorder="1" applyAlignment="1">
      <alignment horizontal="right"/>
    </xf>
    <xf numFmtId="3" fontId="11" fillId="2" borderId="28" xfId="0" applyNumberFormat="1" applyFont="1" applyFill="1" applyBorder="1" applyAlignment="1">
      <alignment horizontal="right"/>
    </xf>
    <xf numFmtId="3" fontId="11" fillId="2" borderId="28" xfId="0" applyNumberFormat="1" applyFont="1" applyFill="1" applyBorder="1" applyAlignment="1">
      <alignment horizontal="right"/>
    </xf>
    <xf numFmtId="164" fontId="11" fillId="2" borderId="29" xfId="0" applyNumberFormat="1" applyFont="1" applyFill="1" applyBorder="1" applyAlignment="1">
      <alignment horizontal="right"/>
    </xf>
    <xf numFmtId="3" fontId="5" fillId="0" borderId="0" xfId="0" applyNumberFormat="1" applyFont="1" applyAlignment="1">
      <alignment horizontal="center"/>
    </xf>
    <xf numFmtId="1" fontId="5" fillId="0" borderId="0" xfId="0" applyNumberFormat="1" applyFont="1"/>
    <xf numFmtId="3" fontId="5" fillId="0" borderId="21" xfId="0" applyNumberFormat="1" applyFont="1" applyBorder="1" applyAlignment="1">
      <alignment horizontal="right"/>
    </xf>
    <xf numFmtId="164" fontId="5" fillId="0" borderId="34" xfId="0" applyNumberFormat="1" applyFont="1" applyBorder="1" applyAlignment="1">
      <alignment horizontal="right"/>
    </xf>
    <xf numFmtId="0" fontId="5" fillId="4" borderId="34" xfId="0" applyFont="1" applyFill="1" applyBorder="1" applyAlignment="1"/>
    <xf numFmtId="164" fontId="5" fillId="4" borderId="34" xfId="0" applyNumberFormat="1" applyFont="1" applyFill="1" applyBorder="1" applyAlignment="1"/>
    <xf numFmtId="164" fontId="5" fillId="0" borderId="46" xfId="0" applyNumberFormat="1" applyFont="1" applyBorder="1" applyAlignment="1">
      <alignment horizontal="right"/>
    </xf>
    <xf numFmtId="0" fontId="11" fillId="2" borderId="43" xfId="0" applyFont="1" applyFill="1" applyBorder="1" applyAlignment="1"/>
    <xf numFmtId="3" fontId="5" fillId="0" borderId="17" xfId="0" applyNumberFormat="1" applyFont="1" applyBorder="1" applyAlignment="1">
      <alignment horizontal="right"/>
    </xf>
    <xf numFmtId="0" fontId="11" fillId="4" borderId="45" xfId="0" applyFont="1" applyFill="1" applyBorder="1" applyAlignment="1"/>
    <xf numFmtId="3" fontId="5" fillId="0" borderId="21" xfId="0" applyNumberFormat="1" applyFont="1" applyBorder="1" applyAlignment="1">
      <alignment horizontal="right"/>
    </xf>
    <xf numFmtId="1" fontId="5" fillId="0" borderId="17" xfId="0" applyNumberFormat="1" applyFont="1" applyBorder="1" applyAlignment="1">
      <alignment horizontal="right"/>
    </xf>
    <xf numFmtId="1" fontId="5" fillId="0" borderId="21" xfId="0" applyNumberFormat="1" applyFont="1" applyBorder="1" applyAlignment="1">
      <alignment horizontal="right"/>
    </xf>
    <xf numFmtId="1" fontId="5" fillId="4" borderId="17" xfId="0" applyNumberFormat="1" applyFont="1" applyFill="1" applyBorder="1" applyAlignment="1">
      <alignment horizontal="right"/>
    </xf>
    <xf numFmtId="0" fontId="11" fillId="2" borderId="3" xfId="0" applyFont="1" applyFill="1" applyBorder="1" applyAlignment="1"/>
    <xf numFmtId="0" fontId="5" fillId="2" borderId="5" xfId="0" applyFont="1" applyFill="1" applyBorder="1" applyAlignment="1"/>
    <xf numFmtId="0" fontId="11" fillId="2" borderId="5" xfId="0" applyFont="1" applyFill="1" applyBorder="1" applyAlignment="1">
      <alignment horizontal="right"/>
    </xf>
    <xf numFmtId="164" fontId="11" fillId="2" borderId="5" xfId="0" applyNumberFormat="1" applyFont="1" applyFill="1" applyBorder="1" applyAlignment="1">
      <alignment horizontal="right"/>
    </xf>
    <xf numFmtId="3" fontId="11" fillId="2" borderId="5" xfId="0" applyNumberFormat="1" applyFont="1" applyFill="1" applyBorder="1" applyAlignment="1">
      <alignment horizontal="right"/>
    </xf>
    <xf numFmtId="164" fontId="11" fillId="2" borderId="4" xfId="0" applyNumberFormat="1" applyFont="1" applyFill="1" applyBorder="1" applyAlignment="1">
      <alignment horizontal="right"/>
    </xf>
    <xf numFmtId="0" fontId="2" fillId="0" borderId="0" xfId="0" applyFont="1"/>
    <xf numFmtId="0" fontId="11" fillId="3" borderId="7" xfId="0" applyFont="1" applyFill="1" applyBorder="1" applyAlignment="1">
      <alignment horizontal="center"/>
    </xf>
    <xf numFmtId="0" fontId="11" fillId="3" borderId="5" xfId="0" applyFont="1" applyFill="1" applyBorder="1" applyAlignment="1">
      <alignment horizontal="center"/>
    </xf>
    <xf numFmtId="0" fontId="11" fillId="3" borderId="4" xfId="0" applyFont="1" applyFill="1" applyBorder="1" applyAlignment="1">
      <alignment horizontal="center"/>
    </xf>
    <xf numFmtId="0" fontId="5" fillId="4" borderId="10" xfId="0" applyFont="1" applyFill="1" applyBorder="1" applyAlignment="1">
      <alignment horizontal="center"/>
    </xf>
    <xf numFmtId="0" fontId="5" fillId="0" borderId="3" xfId="0" applyFont="1" applyBorder="1" applyAlignment="1">
      <alignment horizontal="center"/>
    </xf>
    <xf numFmtId="0" fontId="5" fillId="0" borderId="5" xfId="0" applyFont="1" applyBorder="1" applyAlignment="1">
      <alignment horizontal="center"/>
    </xf>
    <xf numFmtId="0" fontId="5" fillId="0" borderId="5" xfId="0" applyFont="1" applyBorder="1" applyAlignment="1">
      <alignment horizontal="center"/>
    </xf>
    <xf numFmtId="0" fontId="5" fillId="0" borderId="4" xfId="0" applyFont="1" applyBorder="1" applyAlignment="1">
      <alignment horizontal="center"/>
    </xf>
    <xf numFmtId="0" fontId="5" fillId="4" borderId="11" xfId="0" applyFont="1" applyFill="1" applyBorder="1" applyAlignment="1">
      <alignment horizontal="center"/>
    </xf>
    <xf numFmtId="0" fontId="11" fillId="4" borderId="61" xfId="0" applyFont="1" applyFill="1" applyBorder="1" applyAlignment="1">
      <alignment horizontal="center"/>
    </xf>
    <xf numFmtId="3" fontId="5" fillId="0" borderId="25" xfId="0" applyNumberFormat="1" applyFont="1" applyBorder="1" applyAlignment="1">
      <alignment horizontal="center"/>
    </xf>
    <xf numFmtId="3" fontId="5" fillId="0" borderId="25" xfId="0" applyNumberFormat="1" applyFont="1" applyBorder="1" applyAlignment="1">
      <alignment horizontal="center"/>
    </xf>
    <xf numFmtId="3" fontId="5" fillId="0" borderId="25" xfId="0" applyNumberFormat="1" applyFont="1" applyBorder="1" applyAlignment="1">
      <alignment horizontal="center"/>
    </xf>
    <xf numFmtId="3" fontId="5" fillId="0" borderId="62" xfId="0" applyNumberFormat="1" applyFont="1" applyBorder="1" applyAlignment="1">
      <alignment horizontal="center"/>
    </xf>
    <xf numFmtId="0" fontId="5" fillId="4" borderId="11" xfId="0" applyFont="1" applyFill="1" applyBorder="1" applyAlignment="1">
      <alignment horizontal="center"/>
    </xf>
    <xf numFmtId="3" fontId="5" fillId="0" borderId="0" xfId="0" applyNumberFormat="1" applyFont="1" applyAlignment="1">
      <alignment horizontal="center"/>
    </xf>
    <xf numFmtId="3" fontId="5" fillId="0" borderId="9" xfId="0" applyNumberFormat="1" applyFont="1" applyBorder="1" applyAlignment="1">
      <alignment horizontal="center"/>
    </xf>
    <xf numFmtId="0" fontId="5" fillId="4" borderId="15" xfId="0" applyFont="1" applyFill="1" applyBorder="1" applyAlignment="1">
      <alignment horizontal="center"/>
    </xf>
    <xf numFmtId="2" fontId="5" fillId="0" borderId="14" xfId="0" applyNumberFormat="1" applyFont="1" applyBorder="1" applyAlignment="1">
      <alignment horizontal="center"/>
    </xf>
    <xf numFmtId="2" fontId="11" fillId="0" borderId="13" xfId="0" applyNumberFormat="1" applyFont="1" applyBorder="1" applyAlignment="1">
      <alignment horizontal="center"/>
    </xf>
    <xf numFmtId="3" fontId="11" fillId="6" borderId="0" xfId="0" applyNumberFormat="1" applyFont="1" applyFill="1" applyAlignment="1">
      <alignment horizontal="center"/>
    </xf>
    <xf numFmtId="3" fontId="11" fillId="6" borderId="9" xfId="0" applyNumberFormat="1" applyFont="1" applyFill="1" applyBorder="1" applyAlignment="1">
      <alignment horizontal="center"/>
    </xf>
    <xf numFmtId="0" fontId="11" fillId="4" borderId="63" xfId="0" applyFont="1" applyFill="1" applyBorder="1" applyAlignment="1">
      <alignment horizontal="center"/>
    </xf>
    <xf numFmtId="0" fontId="11" fillId="0" borderId="25" xfId="0" applyFont="1" applyBorder="1" applyAlignment="1">
      <alignment horizontal="center"/>
    </xf>
    <xf numFmtId="0" fontId="5" fillId="0" borderId="25" xfId="0" applyFont="1" applyBorder="1" applyAlignment="1">
      <alignment horizontal="center"/>
    </xf>
    <xf numFmtId="0" fontId="5" fillId="0" borderId="25" xfId="0" applyFont="1" applyBorder="1" applyAlignment="1">
      <alignment horizontal="center"/>
    </xf>
    <xf numFmtId="0" fontId="11" fillId="0" borderId="62" xfId="0" applyFont="1" applyBorder="1" applyAlignment="1">
      <alignment horizontal="center"/>
    </xf>
    <xf numFmtId="0" fontId="5" fillId="4" borderId="15" xfId="0" applyFont="1" applyFill="1" applyBorder="1" applyAlignment="1">
      <alignment horizontal="center"/>
    </xf>
    <xf numFmtId="3" fontId="11" fillId="6" borderId="14" xfId="0" applyNumberFormat="1" applyFont="1" applyFill="1" applyBorder="1" applyAlignment="1">
      <alignment horizontal="center"/>
    </xf>
    <xf numFmtId="3" fontId="11" fillId="6" borderId="13" xfId="0" applyNumberFormat="1" applyFont="1" applyFill="1" applyBorder="1" applyAlignment="1">
      <alignment horizontal="center"/>
    </xf>
    <xf numFmtId="0" fontId="11" fillId="3" borderId="3" xfId="0" applyFont="1" applyFill="1" applyBorder="1" applyAlignment="1">
      <alignment horizontal="center"/>
    </xf>
    <xf numFmtId="0" fontId="5" fillId="4" borderId="7" xfId="0" applyFont="1" applyFill="1" applyBorder="1" applyAlignment="1">
      <alignment horizontal="center"/>
    </xf>
    <xf numFmtId="0" fontId="5" fillId="0" borderId="4" xfId="0" applyFont="1" applyBorder="1" applyAlignment="1">
      <alignment horizontal="center"/>
    </xf>
    <xf numFmtId="2" fontId="5" fillId="0" borderId="9" xfId="0" applyNumberFormat="1" applyFont="1" applyBorder="1" applyAlignment="1">
      <alignment horizontal="center"/>
    </xf>
    <xf numFmtId="0" fontId="5" fillId="4" borderId="63" xfId="0" applyFont="1" applyFill="1" applyBorder="1" applyAlignment="1">
      <alignment horizontal="center"/>
    </xf>
    <xf numFmtId="2" fontId="5" fillId="0" borderId="62" xfId="0" applyNumberFormat="1" applyFont="1" applyBorder="1" applyAlignment="1">
      <alignment horizontal="center"/>
    </xf>
    <xf numFmtId="2" fontId="11" fillId="6" borderId="9" xfId="0" applyNumberFormat="1" applyFont="1" applyFill="1" applyBorder="1" applyAlignment="1">
      <alignment horizontal="center"/>
    </xf>
    <xf numFmtId="166" fontId="11" fillId="6" borderId="13" xfId="0" applyNumberFormat="1" applyFont="1" applyFill="1" applyBorder="1" applyAlignment="1">
      <alignment horizontal="center"/>
    </xf>
    <xf numFmtId="0" fontId="11" fillId="4" borderId="44" xfId="0" applyFont="1" applyFill="1" applyBorder="1"/>
    <xf numFmtId="0" fontId="11" fillId="4" borderId="24" xfId="0" applyFont="1" applyFill="1" applyBorder="1" applyAlignment="1">
      <alignment horizontal="center"/>
    </xf>
    <xf numFmtId="0" fontId="11" fillId="4" borderId="52" xfId="0" applyFont="1" applyFill="1" applyBorder="1" applyAlignment="1">
      <alignment horizontal="center"/>
    </xf>
    <xf numFmtId="0" fontId="5" fillId="4" borderId="64" xfId="0" applyFont="1" applyFill="1" applyBorder="1" applyAlignment="1"/>
    <xf numFmtId="44" fontId="5" fillId="0" borderId="0" xfId="0" applyNumberFormat="1" applyFont="1" applyAlignment="1"/>
    <xf numFmtId="44" fontId="5" fillId="0" borderId="9" xfId="0" applyNumberFormat="1" applyFont="1" applyBorder="1"/>
    <xf numFmtId="0" fontId="5" fillId="4" borderId="65" xfId="0" applyFont="1" applyFill="1" applyBorder="1" applyAlignment="1"/>
    <xf numFmtId="44" fontId="12" fillId="0" borderId="25" xfId="0" applyNumberFormat="1" applyFont="1" applyBorder="1" applyAlignment="1"/>
    <xf numFmtId="44" fontId="12" fillId="0" borderId="62" xfId="0" applyNumberFormat="1" applyFont="1" applyBorder="1" applyAlignment="1"/>
    <xf numFmtId="0" fontId="11" fillId="4" borderId="64" xfId="0" applyFont="1" applyFill="1" applyBorder="1" applyAlignment="1"/>
    <xf numFmtId="44" fontId="5" fillId="0" borderId="9" xfId="0" applyNumberFormat="1" applyFont="1" applyBorder="1" applyAlignment="1"/>
    <xf numFmtId="10" fontId="5" fillId="0" borderId="25" xfId="0" applyNumberFormat="1" applyFont="1" applyBorder="1" applyAlignment="1"/>
    <xf numFmtId="10" fontId="5" fillId="0" borderId="62" xfId="0" applyNumberFormat="1" applyFont="1" applyBorder="1" applyAlignment="1"/>
    <xf numFmtId="10" fontId="17" fillId="6" borderId="0" xfId="0" applyNumberFormat="1" applyFont="1" applyFill="1" applyAlignment="1"/>
    <xf numFmtId="10" fontId="17" fillId="6" borderId="0" xfId="0" applyNumberFormat="1" applyFont="1" applyFill="1"/>
    <xf numFmtId="10" fontId="17" fillId="6" borderId="9" xfId="0" applyNumberFormat="1" applyFont="1" applyFill="1" applyBorder="1"/>
    <xf numFmtId="0" fontId="5" fillId="4" borderId="66" xfId="0" applyFont="1" applyFill="1" applyBorder="1" applyAlignment="1"/>
    <xf numFmtId="2" fontId="5" fillId="0" borderId="67" xfId="0" applyNumberFormat="1" applyFont="1" applyBorder="1" applyAlignment="1"/>
    <xf numFmtId="2" fontId="5" fillId="0" borderId="68" xfId="0" applyNumberFormat="1" applyFont="1" applyBorder="1" applyAlignment="1"/>
    <xf numFmtId="0" fontId="54" fillId="2" borderId="0" xfId="0" applyFont="1" applyFill="1" applyAlignment="1">
      <alignment horizontal="center"/>
    </xf>
    <xf numFmtId="0" fontId="55" fillId="0" borderId="0" xfId="0" applyFont="1" applyAlignment="1"/>
    <xf numFmtId="0" fontId="9" fillId="0" borderId="0" xfId="0" applyFont="1" applyAlignment="1">
      <alignment horizontal="center"/>
    </xf>
    <xf numFmtId="0" fontId="11" fillId="3" borderId="10" xfId="0" applyFont="1" applyFill="1" applyBorder="1" applyAlignment="1">
      <alignment horizontal="center"/>
    </xf>
    <xf numFmtId="0" fontId="11" fillId="4" borderId="10" xfId="0" applyFont="1" applyFill="1" applyBorder="1" applyAlignment="1">
      <alignment horizontal="center"/>
    </xf>
    <xf numFmtId="2" fontId="5" fillId="0" borderId="11" xfId="0" applyNumberFormat="1" applyFont="1" applyBorder="1" applyAlignment="1">
      <alignment horizontal="center"/>
    </xf>
    <xf numFmtId="0" fontId="5" fillId="3" borderId="57" xfId="0" applyFont="1" applyFill="1" applyBorder="1" applyAlignment="1"/>
    <xf numFmtId="0" fontId="5" fillId="3" borderId="69" xfId="0" applyFont="1" applyFill="1" applyBorder="1" applyAlignment="1">
      <alignment horizontal="center"/>
    </xf>
    <xf numFmtId="0" fontId="5" fillId="3" borderId="59" xfId="0" applyFont="1" applyFill="1" applyBorder="1" applyAlignment="1">
      <alignment horizontal="center"/>
    </xf>
    <xf numFmtId="1" fontId="5" fillId="0" borderId="15" xfId="0" applyNumberFormat="1" applyFont="1" applyBorder="1" applyAlignment="1">
      <alignment horizontal="center"/>
    </xf>
    <xf numFmtId="3" fontId="12" fillId="6" borderId="27" xfId="0" applyNumberFormat="1" applyFont="1" applyFill="1" applyBorder="1" applyAlignment="1">
      <alignment horizontal="center"/>
    </xf>
    <xf numFmtId="0" fontId="11" fillId="3" borderId="11" xfId="0" applyFont="1" applyFill="1" applyBorder="1" applyAlignment="1">
      <alignment horizontal="center"/>
    </xf>
    <xf numFmtId="3" fontId="5" fillId="0" borderId="27" xfId="0" applyNumberFormat="1" applyFont="1" applyBorder="1" applyAlignment="1">
      <alignment horizontal="center"/>
    </xf>
    <xf numFmtId="1" fontId="5" fillId="0" borderId="15" xfId="0" applyNumberFormat="1" applyFont="1" applyBorder="1" applyAlignment="1">
      <alignment horizontal="center"/>
    </xf>
    <xf numFmtId="0" fontId="11" fillId="4" borderId="57" xfId="0" applyFont="1" applyFill="1" applyBorder="1" applyAlignment="1"/>
    <xf numFmtId="3" fontId="11" fillId="0" borderId="58" xfId="0" applyNumberFormat="1" applyFont="1" applyBorder="1" applyAlignment="1">
      <alignment horizontal="center"/>
    </xf>
    <xf numFmtId="44" fontId="11" fillId="2" borderId="59" xfId="0" applyNumberFormat="1" applyFont="1" applyFill="1" applyBorder="1"/>
    <xf numFmtId="166" fontId="5" fillId="0" borderId="15" xfId="0" applyNumberFormat="1" applyFont="1" applyBorder="1" applyAlignment="1">
      <alignment horizontal="center"/>
    </xf>
    <xf numFmtId="2" fontId="5" fillId="0" borderId="15" xfId="0" applyNumberFormat="1" applyFont="1" applyBorder="1" applyAlignment="1">
      <alignment horizontal="center"/>
    </xf>
    <xf numFmtId="3" fontId="11" fillId="0" borderId="37" xfId="0" applyNumberFormat="1" applyFont="1" applyBorder="1" applyAlignment="1">
      <alignment horizontal="center"/>
    </xf>
    <xf numFmtId="44" fontId="11" fillId="0" borderId="13" xfId="0" applyNumberFormat="1" applyFont="1" applyBorder="1"/>
    <xf numFmtId="0" fontId="5" fillId="0" borderId="0" xfId="0" applyFont="1" applyAlignment="1">
      <alignment horizontal="center"/>
    </xf>
    <xf numFmtId="10" fontId="5" fillId="0" borderId="15" xfId="0" applyNumberFormat="1" applyFont="1" applyBorder="1" applyAlignment="1">
      <alignment horizontal="center"/>
    </xf>
    <xf numFmtId="0" fontId="5" fillId="3" borderId="70" xfId="0" applyFont="1" applyFill="1" applyBorder="1" applyAlignment="1"/>
    <xf numFmtId="0" fontId="5" fillId="3" borderId="56" xfId="0" applyFont="1" applyFill="1" applyBorder="1" applyAlignment="1">
      <alignment horizontal="center"/>
    </xf>
    <xf numFmtId="0" fontId="5" fillId="0" borderId="64" xfId="0" applyFont="1" applyBorder="1" applyAlignment="1"/>
    <xf numFmtId="3" fontId="5" fillId="0" borderId="26" xfId="0" applyNumberFormat="1" applyFont="1" applyBorder="1" applyAlignment="1">
      <alignment horizontal="center"/>
    </xf>
    <xf numFmtId="44" fontId="5" fillId="0" borderId="71" xfId="0" applyNumberFormat="1" applyFont="1" applyBorder="1"/>
    <xf numFmtId="0" fontId="5" fillId="0" borderId="72" xfId="0" applyFont="1" applyBorder="1" applyAlignment="1"/>
    <xf numFmtId="1" fontId="5" fillId="0" borderId="40" xfId="0" applyNumberFormat="1" applyFont="1" applyBorder="1" applyAlignment="1">
      <alignment horizontal="center"/>
    </xf>
    <xf numFmtId="44" fontId="5" fillId="6" borderId="13" xfId="0" applyNumberFormat="1" applyFont="1" applyFill="1" applyBorder="1"/>
    <xf numFmtId="44" fontId="12" fillId="6" borderId="15" xfId="0" applyNumberFormat="1" applyFont="1" applyFill="1" applyBorder="1"/>
    <xf numFmtId="3" fontId="11" fillId="0" borderId="28" xfId="0" applyNumberFormat="1" applyFont="1" applyBorder="1" applyAlignment="1">
      <alignment horizontal="center"/>
    </xf>
    <xf numFmtId="44" fontId="11" fillId="2" borderId="29" xfId="0" applyNumberFormat="1" applyFont="1" applyFill="1" applyBorder="1"/>
    <xf numFmtId="2" fontId="17" fillId="3" borderId="11" xfId="0" applyNumberFormat="1" applyFont="1" applyFill="1" applyBorder="1" applyAlignment="1">
      <alignment horizontal="center"/>
    </xf>
    <xf numFmtId="0" fontId="12" fillId="3" borderId="59" xfId="0" applyFont="1" applyFill="1" applyBorder="1" applyAlignment="1">
      <alignment horizontal="center"/>
    </xf>
    <xf numFmtId="1" fontId="5" fillId="0" borderId="27" xfId="0" applyNumberFormat="1" applyFont="1" applyBorder="1" applyAlignment="1">
      <alignment horizontal="center"/>
    </xf>
    <xf numFmtId="0" fontId="5" fillId="4" borderId="72" xfId="0" applyFont="1" applyFill="1" applyBorder="1" applyAlignment="1"/>
    <xf numFmtId="3" fontId="5" fillId="0" borderId="39" xfId="0" applyNumberFormat="1" applyFont="1" applyBorder="1" applyAlignment="1">
      <alignment horizontal="center"/>
    </xf>
    <xf numFmtId="44" fontId="5" fillId="0" borderId="41" xfId="0" applyNumberFormat="1" applyFont="1" applyBorder="1"/>
    <xf numFmtId="0" fontId="11" fillId="4" borderId="3" xfId="0" applyFont="1" applyFill="1" applyBorder="1" applyAlignment="1"/>
    <xf numFmtId="0" fontId="11" fillId="4" borderId="16" xfId="0" applyFont="1" applyFill="1" applyBorder="1" applyAlignment="1">
      <alignment horizontal="center"/>
    </xf>
    <xf numFmtId="2" fontId="5" fillId="0" borderId="13" xfId="0" applyNumberFormat="1" applyFont="1" applyBorder="1" applyAlignment="1">
      <alignment horizontal="center"/>
    </xf>
    <xf numFmtId="0" fontId="5" fillId="3" borderId="43" xfId="0" applyFont="1" applyFill="1" applyBorder="1" applyAlignment="1"/>
    <xf numFmtId="0" fontId="5" fillId="3" borderId="73" xfId="0" applyFont="1" applyFill="1" applyBorder="1" applyAlignment="1">
      <alignment horizontal="center"/>
    </xf>
    <xf numFmtId="3" fontId="5" fillId="0" borderId="15" xfId="0" applyNumberFormat="1" applyFont="1" applyBorder="1" applyAlignment="1">
      <alignment horizontal="center"/>
    </xf>
    <xf numFmtId="1" fontId="5" fillId="0" borderId="13" xfId="0" applyNumberFormat="1" applyFont="1" applyBorder="1" applyAlignment="1">
      <alignment horizontal="center"/>
    </xf>
    <xf numFmtId="0" fontId="5" fillId="4" borderId="74" xfId="0" applyFont="1" applyFill="1" applyBorder="1" applyAlignment="1"/>
    <xf numFmtId="3" fontId="5" fillId="0" borderId="15" xfId="0" applyNumberFormat="1" applyFont="1" applyBorder="1" applyAlignment="1">
      <alignment horizontal="center"/>
    </xf>
    <xf numFmtId="3" fontId="5" fillId="0" borderId="39" xfId="0" applyNumberFormat="1" applyFont="1" applyBorder="1" applyAlignment="1">
      <alignment horizontal="center"/>
    </xf>
    <xf numFmtId="44" fontId="5" fillId="0" borderId="15" xfId="0" applyNumberFormat="1" applyFont="1" applyBorder="1" applyAlignment="1">
      <alignment horizontal="center"/>
    </xf>
    <xf numFmtId="2" fontId="11" fillId="3" borderId="11" xfId="0" applyNumberFormat="1" applyFont="1" applyFill="1" applyBorder="1" applyAlignment="1">
      <alignment horizontal="center"/>
    </xf>
    <xf numFmtId="2" fontId="12" fillId="6" borderId="15" xfId="0" applyNumberFormat="1" applyFont="1" applyFill="1" applyBorder="1" applyAlignment="1">
      <alignment horizontal="center"/>
    </xf>
    <xf numFmtId="0" fontId="17" fillId="3" borderId="10" xfId="0" applyFont="1" applyFill="1" applyBorder="1" applyAlignment="1">
      <alignment horizontal="center"/>
    </xf>
    <xf numFmtId="3" fontId="12" fillId="6" borderId="15" xfId="0" applyNumberFormat="1" applyFont="1" applyFill="1" applyBorder="1" applyAlignment="1">
      <alignment horizontal="center"/>
    </xf>
    <xf numFmtId="44" fontId="5" fillId="0" borderId="13" xfId="0" applyNumberFormat="1" applyFont="1" applyBorder="1" applyAlignment="1">
      <alignment horizontal="right"/>
    </xf>
    <xf numFmtId="166" fontId="12" fillId="6" borderId="15" xfId="0" applyNumberFormat="1" applyFont="1" applyFill="1" applyBorder="1" applyAlignment="1">
      <alignment horizontal="center"/>
    </xf>
    <xf numFmtId="165" fontId="5" fillId="0" borderId="0" xfId="0" applyNumberFormat="1" applyFont="1" applyAlignment="1">
      <alignment horizontal="center"/>
    </xf>
    <xf numFmtId="10" fontId="12" fillId="6" borderId="15" xfId="0" applyNumberFormat="1" applyFont="1" applyFill="1" applyBorder="1" applyAlignment="1">
      <alignment horizontal="center"/>
    </xf>
    <xf numFmtId="165" fontId="5" fillId="3" borderId="59" xfId="0" applyNumberFormat="1" applyFont="1" applyFill="1" applyBorder="1" applyAlignment="1">
      <alignment horizontal="center"/>
    </xf>
    <xf numFmtId="2" fontId="12" fillId="0" borderId="15" xfId="0" applyNumberFormat="1" applyFont="1" applyBorder="1" applyAlignment="1">
      <alignment horizontal="center"/>
    </xf>
    <xf numFmtId="44" fontId="12" fillId="6" borderId="15" xfId="0" applyNumberFormat="1" applyFont="1" applyFill="1" applyBorder="1" applyAlignment="1">
      <alignment horizontal="center"/>
    </xf>
    <xf numFmtId="0" fontId="11" fillId="4" borderId="43" xfId="0" applyFont="1" applyFill="1" applyBorder="1" applyAlignment="1"/>
    <xf numFmtId="2" fontId="17" fillId="3" borderId="10" xfId="0" applyNumberFormat="1" applyFont="1" applyFill="1" applyBorder="1" applyAlignment="1">
      <alignment horizontal="center"/>
    </xf>
    <xf numFmtId="165" fontId="12" fillId="3" borderId="59" xfId="0" applyNumberFormat="1" applyFont="1" applyFill="1" applyBorder="1" applyAlignment="1">
      <alignment horizontal="center"/>
    </xf>
    <xf numFmtId="44" fontId="5" fillId="0" borderId="71" xfId="0" applyNumberFormat="1" applyFont="1" applyBorder="1" applyAlignment="1">
      <alignment horizontal="right"/>
    </xf>
    <xf numFmtId="44" fontId="5" fillId="0" borderId="13" xfId="0" applyNumberFormat="1" applyFont="1" applyBorder="1" applyAlignment="1">
      <alignment horizontal="right"/>
    </xf>
    <xf numFmtId="44" fontId="11" fillId="2" borderId="75" xfId="0" applyNumberFormat="1" applyFont="1" applyFill="1" applyBorder="1"/>
    <xf numFmtId="0" fontId="12" fillId="0" borderId="0" xfId="0" applyFont="1" applyAlignment="1">
      <alignment horizontal="center"/>
    </xf>
    <xf numFmtId="0" fontId="17" fillId="4" borderId="10" xfId="0" applyFont="1" applyFill="1" applyBorder="1" applyAlignment="1">
      <alignment horizontal="center"/>
    </xf>
    <xf numFmtId="0" fontId="17" fillId="3" borderId="11" xfId="0" applyFont="1" applyFill="1" applyBorder="1" applyAlignment="1">
      <alignment horizontal="center"/>
    </xf>
    <xf numFmtId="10" fontId="12" fillId="6" borderId="11" xfId="0" applyNumberFormat="1" applyFont="1" applyFill="1" applyBorder="1" applyAlignment="1">
      <alignment horizontal="center"/>
    </xf>
    <xf numFmtId="2" fontId="12" fillId="6" borderId="11" xfId="0" applyNumberFormat="1" applyFont="1" applyFill="1" applyBorder="1" applyAlignment="1">
      <alignment horizontal="center"/>
    </xf>
    <xf numFmtId="44" fontId="12" fillId="6" borderId="11" xfId="0" applyNumberFormat="1" applyFont="1" applyFill="1" applyBorder="1" applyAlignment="1">
      <alignment horizontal="center"/>
    </xf>
    <xf numFmtId="0" fontId="17" fillId="3" borderId="7" xfId="0" applyFont="1" applyFill="1" applyBorder="1" applyAlignment="1"/>
    <xf numFmtId="0" fontId="12" fillId="3" borderId="57" xfId="0" applyFont="1" applyFill="1" applyBorder="1" applyAlignment="1"/>
    <xf numFmtId="0" fontId="12" fillId="3" borderId="69" xfId="0" applyFont="1" applyFill="1" applyBorder="1" applyAlignment="1">
      <alignment horizontal="center"/>
    </xf>
    <xf numFmtId="1" fontId="12" fillId="0" borderId="15" xfId="0" applyNumberFormat="1" applyFont="1" applyBorder="1" applyAlignment="1">
      <alignment horizontal="center"/>
    </xf>
    <xf numFmtId="0" fontId="12" fillId="4" borderId="64" xfId="0" applyFont="1" applyFill="1" applyBorder="1" applyAlignment="1"/>
    <xf numFmtId="3" fontId="12" fillId="0" borderId="27" xfId="0" applyNumberFormat="1" applyFont="1" applyBorder="1" applyAlignment="1">
      <alignment horizontal="center"/>
    </xf>
    <xf numFmtId="44" fontId="12" fillId="0" borderId="9" xfId="0" applyNumberFormat="1" applyFont="1" applyBorder="1"/>
    <xf numFmtId="1" fontId="12" fillId="6" borderId="15" xfId="0" applyNumberFormat="1" applyFont="1" applyFill="1" applyBorder="1" applyAlignment="1">
      <alignment horizontal="center"/>
    </xf>
    <xf numFmtId="0" fontId="12" fillId="4" borderId="72" xfId="0" applyFont="1" applyFill="1" applyBorder="1" applyAlignment="1"/>
    <xf numFmtId="3" fontId="12" fillId="0" borderId="39" xfId="0" applyNumberFormat="1" applyFont="1" applyBorder="1" applyAlignment="1">
      <alignment horizontal="center"/>
    </xf>
    <xf numFmtId="44" fontId="12" fillId="0" borderId="13" xfId="0" applyNumberFormat="1" applyFont="1" applyBorder="1" applyAlignment="1">
      <alignment horizontal="right"/>
    </xf>
    <xf numFmtId="0" fontId="12" fillId="0" borderId="0" xfId="0" applyFont="1" applyAlignment="1">
      <alignment horizontal="center"/>
    </xf>
    <xf numFmtId="0" fontId="17" fillId="4" borderId="57" xfId="0" applyFont="1" applyFill="1" applyBorder="1" applyAlignment="1"/>
    <xf numFmtId="3" fontId="17" fillId="0" borderId="58" xfId="0" applyNumberFormat="1" applyFont="1" applyBorder="1" applyAlignment="1">
      <alignment horizontal="center"/>
    </xf>
    <xf numFmtId="44" fontId="17" fillId="2" borderId="59" xfId="0" applyNumberFormat="1" applyFont="1" applyFill="1" applyBorder="1"/>
    <xf numFmtId="0" fontId="17" fillId="4" borderId="48" xfId="0" applyFont="1" applyFill="1" applyBorder="1" applyAlignment="1"/>
    <xf numFmtId="3" fontId="17" fillId="0" borderId="37" xfId="0" applyNumberFormat="1" applyFont="1" applyBorder="1" applyAlignment="1">
      <alignment horizontal="center"/>
    </xf>
    <xf numFmtId="44" fontId="17" fillId="0" borderId="13" xfId="0" applyNumberFormat="1" applyFont="1" applyBorder="1"/>
    <xf numFmtId="165" fontId="12" fillId="0" borderId="0" xfId="0" applyNumberFormat="1" applyFont="1" applyAlignment="1">
      <alignment horizontal="center"/>
    </xf>
    <xf numFmtId="0" fontId="12" fillId="3" borderId="70" xfId="0" applyFont="1" applyFill="1" applyBorder="1" applyAlignment="1"/>
    <xf numFmtId="0" fontId="12" fillId="3" borderId="56" xfId="0" applyFont="1" applyFill="1" applyBorder="1" applyAlignment="1">
      <alignment horizontal="center"/>
    </xf>
    <xf numFmtId="3" fontId="12" fillId="0" borderId="26" xfId="0" applyNumberFormat="1" applyFont="1" applyBorder="1" applyAlignment="1">
      <alignment horizontal="center"/>
    </xf>
    <xf numFmtId="44" fontId="12" fillId="0" borderId="71" xfId="0" applyNumberFormat="1" applyFont="1" applyBorder="1"/>
    <xf numFmtId="1" fontId="12" fillId="0" borderId="40" xfId="0" applyNumberFormat="1" applyFont="1" applyBorder="1" applyAlignment="1">
      <alignment horizontal="center"/>
    </xf>
    <xf numFmtId="0" fontId="17" fillId="4" borderId="3" xfId="0" applyFont="1" applyFill="1" applyBorder="1" applyAlignment="1"/>
    <xf numFmtId="3" fontId="17" fillId="0" borderId="28" xfId="0" applyNumberFormat="1" applyFont="1" applyBorder="1" applyAlignment="1">
      <alignment horizontal="center"/>
    </xf>
    <xf numFmtId="44" fontId="17" fillId="2" borderId="29" xfId="0" applyNumberFormat="1" applyFont="1" applyFill="1" applyBorder="1"/>
    <xf numFmtId="165" fontId="12" fillId="0" borderId="0" xfId="0" applyNumberFormat="1" applyFont="1"/>
    <xf numFmtId="3" fontId="12" fillId="0" borderId="39" xfId="0" applyNumberFormat="1" applyFont="1" applyBorder="1" applyAlignment="1">
      <alignment horizontal="center"/>
    </xf>
    <xf numFmtId="44" fontId="5" fillId="0" borderId="9" xfId="0" applyNumberFormat="1" applyFont="1" applyBorder="1" applyAlignment="1">
      <alignment horizontal="center"/>
    </xf>
    <xf numFmtId="3" fontId="5" fillId="0" borderId="0" xfId="0" applyNumberFormat="1" applyFont="1" applyAlignment="1">
      <alignment horizontal="center"/>
    </xf>
    <xf numFmtId="44" fontId="5" fillId="0" borderId="2" xfId="0" applyNumberFormat="1" applyFont="1" applyBorder="1" applyAlignment="1">
      <alignment horizontal="center"/>
    </xf>
    <xf numFmtId="0" fontId="5" fillId="0" borderId="14" xfId="0" applyFont="1" applyBorder="1" applyAlignment="1">
      <alignment horizontal="center"/>
    </xf>
    <xf numFmtId="3" fontId="5" fillId="0" borderId="14" xfId="0" applyNumberFormat="1" applyFont="1" applyBorder="1" applyAlignment="1">
      <alignment horizontal="center"/>
    </xf>
    <xf numFmtId="164" fontId="5" fillId="0" borderId="0" xfId="0" applyNumberFormat="1" applyFont="1" applyAlignment="1">
      <alignment horizontal="left"/>
    </xf>
    <xf numFmtId="3" fontId="5" fillId="0" borderId="2" xfId="0" applyNumberFormat="1" applyFont="1" applyBorder="1" applyAlignment="1">
      <alignment horizontal="center"/>
    </xf>
    <xf numFmtId="4" fontId="5" fillId="0" borderId="14" xfId="0" applyNumberFormat="1" applyFont="1" applyBorder="1" applyAlignment="1">
      <alignment horizontal="center"/>
    </xf>
    <xf numFmtId="4" fontId="11" fillId="0" borderId="0" xfId="0" applyNumberFormat="1" applyFont="1" applyAlignment="1">
      <alignment horizontal="center"/>
    </xf>
    <xf numFmtId="3" fontId="5" fillId="0" borderId="0" xfId="0" applyNumberFormat="1" applyFont="1" applyAlignment="1">
      <alignment horizontal="left"/>
    </xf>
    <xf numFmtId="4" fontId="5" fillId="0" borderId="0" xfId="0" applyNumberFormat="1" applyFont="1" applyAlignment="1">
      <alignment horizontal="center"/>
    </xf>
    <xf numFmtId="0" fontId="5" fillId="0" borderId="24" xfId="0" applyFont="1" applyBorder="1" applyAlignment="1">
      <alignment horizontal="center"/>
    </xf>
    <xf numFmtId="0" fontId="11" fillId="3" borderId="7" xfId="0" applyFont="1" applyFill="1" applyBorder="1" applyAlignment="1"/>
    <xf numFmtId="0" fontId="5" fillId="3" borderId="5" xfId="0" applyFont="1" applyFill="1" applyBorder="1" applyAlignment="1">
      <alignment horizontal="center"/>
    </xf>
    <xf numFmtId="0" fontId="5" fillId="13" borderId="4" xfId="0" applyFont="1" applyFill="1" applyBorder="1" applyAlignment="1">
      <alignment horizontal="center"/>
    </xf>
    <xf numFmtId="0" fontId="5" fillId="0" borderId="11" xfId="0" applyFont="1" applyBorder="1" applyAlignment="1"/>
    <xf numFmtId="0" fontId="5" fillId="0" borderId="9" xfId="0" applyFont="1" applyBorder="1" applyAlignment="1">
      <alignment horizontal="center"/>
    </xf>
    <xf numFmtId="0" fontId="12" fillId="6" borderId="11" xfId="0" applyFont="1" applyFill="1" applyBorder="1" applyAlignment="1">
      <alignment horizontal="left"/>
    </xf>
    <xf numFmtId="0" fontId="12" fillId="6" borderId="15" xfId="0" applyFont="1" applyFill="1" applyBorder="1" applyAlignment="1">
      <alignment horizontal="left"/>
    </xf>
    <xf numFmtId="0" fontId="5" fillId="0" borderId="13" xfId="0" applyFont="1" applyBorder="1" applyAlignment="1">
      <alignment horizontal="center"/>
    </xf>
    <xf numFmtId="0" fontId="57" fillId="0" borderId="0" xfId="0" applyFont="1" applyAlignment="1"/>
    <xf numFmtId="0" fontId="5" fillId="3" borderId="4" xfId="0" applyFont="1" applyFill="1" applyBorder="1" applyAlignment="1">
      <alignment horizontal="center"/>
    </xf>
    <xf numFmtId="0" fontId="5" fillId="0" borderId="11" xfId="0" applyFont="1" applyBorder="1" applyAlignment="1">
      <alignment wrapText="1"/>
    </xf>
    <xf numFmtId="0" fontId="5" fillId="0" borderId="15" xfId="0" applyFont="1" applyBorder="1" applyAlignment="1">
      <alignment wrapText="1"/>
    </xf>
    <xf numFmtId="0" fontId="5" fillId="0" borderId="13" xfId="0" applyFont="1" applyBorder="1" applyAlignment="1">
      <alignment horizontal="center"/>
    </xf>
    <xf numFmtId="0" fontId="58" fillId="0" borderId="0" xfId="0" applyFont="1" applyAlignment="1"/>
    <xf numFmtId="0" fontId="59" fillId="0" borderId="0" xfId="0" applyFont="1" applyAlignment="1">
      <alignment horizontal="center"/>
    </xf>
    <xf numFmtId="0" fontId="12" fillId="6" borderId="0" xfId="0" applyFont="1" applyFill="1" applyAlignment="1">
      <alignment horizontal="center"/>
    </xf>
    <xf numFmtId="0" fontId="60" fillId="6" borderId="0" xfId="0" applyFont="1" applyFill="1" applyAlignment="1"/>
    <xf numFmtId="167" fontId="5" fillId="0" borderId="0" xfId="0" applyNumberFormat="1" applyFont="1" applyAlignment="1"/>
    <xf numFmtId="0" fontId="5" fillId="0" borderId="30" xfId="0" applyFont="1" applyBorder="1" applyAlignment="1">
      <alignment horizontal="center"/>
    </xf>
    <xf numFmtId="0" fontId="45" fillId="6" borderId="44" xfId="0" applyFont="1" applyFill="1" applyBorder="1" applyAlignment="1">
      <alignment horizontal="center"/>
    </xf>
    <xf numFmtId="44" fontId="45" fillId="0" borderId="32" xfId="0" applyNumberFormat="1" applyFont="1" applyBorder="1" applyAlignment="1">
      <alignment horizontal="center"/>
    </xf>
    <xf numFmtId="0" fontId="5" fillId="0" borderId="0" xfId="0" applyFont="1" applyAlignment="1">
      <alignment horizontal="left"/>
    </xf>
    <xf numFmtId="0" fontId="5" fillId="0" borderId="33" xfId="0" applyFont="1" applyBorder="1" applyAlignment="1">
      <alignment horizontal="center"/>
    </xf>
    <xf numFmtId="0" fontId="45" fillId="0" borderId="45" xfId="0" applyFont="1" applyBorder="1" applyAlignment="1">
      <alignment horizontal="center"/>
    </xf>
    <xf numFmtId="0" fontId="5" fillId="0" borderId="34" xfId="0" applyFont="1" applyBorder="1" applyAlignment="1">
      <alignment horizontal="center"/>
    </xf>
    <xf numFmtId="0" fontId="61" fillId="6" borderId="0" xfId="0" applyFont="1" applyFill="1" applyAlignment="1">
      <alignment horizontal="left"/>
    </xf>
    <xf numFmtId="0" fontId="62" fillId="6" borderId="0" xfId="0" applyFont="1" applyFill="1" applyAlignment="1">
      <alignment horizontal="left"/>
    </xf>
    <xf numFmtId="0" fontId="45" fillId="0" borderId="0" xfId="0" applyFont="1" applyAlignment="1">
      <alignment horizontal="right"/>
    </xf>
    <xf numFmtId="0" fontId="63" fillId="6" borderId="0" xfId="0" applyFont="1" applyFill="1" applyAlignment="1">
      <alignment horizontal="left"/>
    </xf>
    <xf numFmtId="10" fontId="45" fillId="0" borderId="0" xfId="0" applyNumberFormat="1" applyFont="1" applyAlignment="1">
      <alignment horizontal="right"/>
    </xf>
    <xf numFmtId="0" fontId="5" fillId="0" borderId="78" xfId="0" applyFont="1" applyBorder="1" applyAlignment="1">
      <alignment horizontal="center"/>
    </xf>
    <xf numFmtId="0" fontId="5" fillId="0" borderId="60" xfId="0" applyFont="1" applyBorder="1" applyAlignment="1">
      <alignment horizontal="center"/>
    </xf>
    <xf numFmtId="1" fontId="45" fillId="0" borderId="0" xfId="0" applyNumberFormat="1" applyFont="1" applyAlignment="1">
      <alignment horizontal="right"/>
    </xf>
    <xf numFmtId="0" fontId="5" fillId="0" borderId="43" xfId="0" applyFont="1" applyBorder="1" applyAlignment="1">
      <alignment horizontal="center"/>
    </xf>
    <xf numFmtId="0" fontId="5" fillId="0" borderId="29" xfId="0" applyFont="1" applyBorder="1" applyAlignment="1">
      <alignment horizontal="center"/>
    </xf>
    <xf numFmtId="0" fontId="5" fillId="0" borderId="6" xfId="0" applyFont="1" applyBorder="1" applyAlignment="1">
      <alignment horizontal="center"/>
    </xf>
    <xf numFmtId="0" fontId="5" fillId="0" borderId="28" xfId="0" applyFont="1" applyBorder="1" applyAlignment="1">
      <alignment horizontal="center"/>
    </xf>
    <xf numFmtId="44" fontId="11" fillId="2" borderId="29" xfId="0" applyNumberFormat="1" applyFont="1" applyFill="1" applyBorder="1" applyAlignment="1">
      <alignment horizontal="center"/>
    </xf>
    <xf numFmtId="0" fontId="64" fillId="0" borderId="0" xfId="0" applyFont="1" applyAlignment="1"/>
    <xf numFmtId="0" fontId="65" fillId="6" borderId="0" xfId="0" applyFont="1" applyFill="1" applyAlignment="1">
      <alignment horizontal="left"/>
    </xf>
    <xf numFmtId="0" fontId="66" fillId="0" borderId="0" xfId="0" applyFont="1" applyAlignment="1">
      <alignment horizontal="left"/>
    </xf>
    <xf numFmtId="0" fontId="67" fillId="0" borderId="0" xfId="0" applyFont="1" applyAlignment="1">
      <alignment horizontal="left"/>
    </xf>
    <xf numFmtId="0" fontId="68" fillId="0" borderId="0" xfId="0" applyFont="1" applyAlignment="1">
      <alignment horizontal="left"/>
    </xf>
    <xf numFmtId="0" fontId="69" fillId="0" borderId="27" xfId="0" applyFont="1" applyBorder="1" applyAlignment="1">
      <alignment horizontal="left"/>
    </xf>
    <xf numFmtId="0" fontId="11" fillId="0" borderId="0" xfId="0" applyFont="1" applyAlignment="1">
      <alignment horizontal="left"/>
    </xf>
    <xf numFmtId="0" fontId="12" fillId="6" borderId="0" xfId="0" applyFont="1" applyFill="1" applyAlignment="1">
      <alignment horizontal="left"/>
    </xf>
    <xf numFmtId="0" fontId="5" fillId="0" borderId="0" xfId="0" applyFont="1" applyAlignment="1">
      <alignment horizontal="left"/>
    </xf>
    <xf numFmtId="0" fontId="70" fillId="0" borderId="0" xfId="0" applyFont="1" applyAlignment="1">
      <alignment horizontal="center"/>
    </xf>
    <xf numFmtId="0" fontId="5" fillId="0" borderId="76" xfId="0" applyFont="1" applyBorder="1" applyAlignment="1"/>
    <xf numFmtId="0" fontId="5" fillId="0" borderId="35" xfId="0" applyFont="1" applyBorder="1" applyAlignment="1"/>
    <xf numFmtId="0" fontId="45" fillId="0" borderId="0" xfId="0" applyFont="1" applyAlignment="1"/>
    <xf numFmtId="0" fontId="71" fillId="0" borderId="0" xfId="0" applyFont="1" applyAlignment="1"/>
    <xf numFmtId="0" fontId="30" fillId="0" borderId="0" xfId="0" applyFont="1"/>
    <xf numFmtId="0" fontId="31" fillId="0" borderId="0" xfId="0" applyFont="1" applyAlignment="1">
      <alignment horizontal="center"/>
    </xf>
    <xf numFmtId="0" fontId="30" fillId="0" borderId="0" xfId="0" applyFont="1" applyAlignment="1">
      <alignment horizontal="center"/>
    </xf>
    <xf numFmtId="168" fontId="12" fillId="0" borderId="7" xfId="0" applyNumberFormat="1" applyFont="1" applyBorder="1" applyAlignment="1"/>
    <xf numFmtId="0" fontId="7" fillId="0" borderId="0" xfId="0" applyFont="1" applyAlignment="1">
      <alignment wrapText="1"/>
    </xf>
    <xf numFmtId="0" fontId="11" fillId="0" borderId="3" xfId="0" applyFont="1" applyBorder="1"/>
    <xf numFmtId="0" fontId="5" fillId="0" borderId="4" xfId="0" applyFont="1" applyBorder="1" applyAlignment="1">
      <alignment horizontal="center"/>
    </xf>
    <xf numFmtId="0" fontId="11" fillId="0" borderId="5" xfId="0" applyFont="1" applyBorder="1" applyAlignment="1">
      <alignment horizontal="center"/>
    </xf>
    <xf numFmtId="0" fontId="11" fillId="0" borderId="4" xfId="0" applyFont="1" applyBorder="1" applyAlignment="1">
      <alignment horizontal="center"/>
    </xf>
    <xf numFmtId="0" fontId="8" fillId="0" borderId="4" xfId="0" quotePrefix="1" applyFont="1" applyBorder="1" applyAlignment="1">
      <alignment horizontal="center"/>
    </xf>
    <xf numFmtId="0" fontId="5" fillId="0" borderId="9" xfId="0" applyFont="1" applyBorder="1"/>
    <xf numFmtId="0" fontId="30" fillId="0" borderId="0" xfId="0" applyFont="1" applyAlignment="1">
      <alignment horizontal="left"/>
    </xf>
    <xf numFmtId="0" fontId="11" fillId="0" borderId="8" xfId="0" applyFont="1" applyBorder="1"/>
    <xf numFmtId="0" fontId="5" fillId="0" borderId="9" xfId="0" applyFont="1" applyBorder="1" applyAlignment="1">
      <alignment horizontal="center"/>
    </xf>
    <xf numFmtId="168" fontId="5" fillId="0" borderId="0" xfId="0" applyNumberFormat="1" applyFont="1" applyAlignment="1">
      <alignment horizontal="center"/>
    </xf>
    <xf numFmtId="168" fontId="5" fillId="0" borderId="9" xfId="0" applyNumberFormat="1" applyFont="1" applyBorder="1" applyAlignment="1">
      <alignment horizontal="center"/>
    </xf>
    <xf numFmtId="168" fontId="5" fillId="0" borderId="0" xfId="0" applyNumberFormat="1" applyFont="1" applyAlignment="1">
      <alignment horizontal="center"/>
    </xf>
    <xf numFmtId="168" fontId="5" fillId="0" borderId="9" xfId="0" applyNumberFormat="1" applyFont="1" applyBorder="1" applyAlignment="1">
      <alignment horizontal="center"/>
    </xf>
    <xf numFmtId="0" fontId="11" fillId="0" borderId="8" xfId="0" applyFont="1" applyBorder="1" applyAlignment="1">
      <alignment horizontal="left"/>
    </xf>
    <xf numFmtId="168" fontId="5" fillId="0" borderId="11" xfId="0" applyNumberFormat="1" applyFont="1" applyBorder="1" applyAlignment="1">
      <alignment horizontal="center"/>
    </xf>
    <xf numFmtId="10" fontId="15" fillId="0" borderId="0" xfId="0" applyNumberFormat="1" applyFont="1" applyAlignment="1"/>
    <xf numFmtId="0" fontId="15" fillId="0" borderId="7" xfId="0" applyFont="1" applyBorder="1" applyAlignment="1"/>
    <xf numFmtId="0" fontId="15" fillId="0" borderId="5" xfId="0" applyFont="1" applyBorder="1" applyAlignment="1"/>
    <xf numFmtId="0" fontId="15" fillId="0" borderId="4" xfId="0" applyFont="1" applyBorder="1" applyAlignment="1"/>
    <xf numFmtId="0" fontId="5" fillId="0" borderId="83" xfId="0" applyFont="1" applyBorder="1" applyAlignment="1"/>
    <xf numFmtId="0" fontId="5" fillId="0" borderId="85" xfId="0" applyFont="1" applyBorder="1" applyAlignment="1"/>
    <xf numFmtId="0" fontId="15" fillId="0" borderId="11" xfId="0" applyFont="1" applyBorder="1" applyAlignment="1"/>
    <xf numFmtId="9" fontId="15" fillId="5" borderId="0" xfId="0" applyNumberFormat="1" applyFont="1" applyFill="1" applyAlignment="1"/>
    <xf numFmtId="9" fontId="15" fillId="5" borderId="9" xfId="0" applyNumberFormat="1" applyFont="1" applyFill="1" applyBorder="1" applyAlignment="1"/>
    <xf numFmtId="0" fontId="5" fillId="0" borderId="86" xfId="0" applyFont="1" applyBorder="1" applyAlignment="1"/>
    <xf numFmtId="0" fontId="5" fillId="5" borderId="0" xfId="0" applyFont="1" applyFill="1" applyAlignment="1">
      <alignment horizontal="right"/>
    </xf>
    <xf numFmtId="0" fontId="5" fillId="0" borderId="87" xfId="0" applyFont="1" applyBorder="1" applyAlignment="1"/>
    <xf numFmtId="0" fontId="15" fillId="0" borderId="15" xfId="0" applyFont="1" applyBorder="1" applyAlignment="1"/>
    <xf numFmtId="0" fontId="5" fillId="5" borderId="0" xfId="0" applyFont="1" applyFill="1" applyAlignment="1"/>
    <xf numFmtId="0" fontId="11" fillId="0" borderId="12" xfId="0" applyFont="1" applyBorder="1"/>
    <xf numFmtId="0" fontId="5" fillId="0" borderId="13" xfId="0" applyFont="1" applyBorder="1" applyAlignment="1">
      <alignment horizontal="center"/>
    </xf>
    <xf numFmtId="168" fontId="5" fillId="0" borderId="14" xfId="0" applyNumberFormat="1" applyFont="1" applyBorder="1" applyAlignment="1">
      <alignment horizontal="center"/>
    </xf>
    <xf numFmtId="168" fontId="5" fillId="0" borderId="13" xfId="0" applyNumberFormat="1" applyFont="1" applyBorder="1" applyAlignment="1">
      <alignment horizontal="center"/>
    </xf>
    <xf numFmtId="0" fontId="11" fillId="0" borderId="86" xfId="0" applyFont="1" applyBorder="1" applyAlignment="1"/>
    <xf numFmtId="0" fontId="11" fillId="0" borderId="87" xfId="0" applyFont="1" applyBorder="1" applyAlignment="1"/>
    <xf numFmtId="0" fontId="8" fillId="0" borderId="8" xfId="0" applyFont="1" applyBorder="1" applyAlignment="1">
      <alignment horizontal="left"/>
    </xf>
    <xf numFmtId="170" fontId="5" fillId="0" borderId="0" xfId="0" applyNumberFormat="1" applyFont="1" applyAlignment="1">
      <alignment horizontal="center"/>
    </xf>
    <xf numFmtId="170" fontId="5" fillId="0" borderId="9" xfId="0" applyNumberFormat="1" applyFont="1" applyBorder="1" applyAlignment="1">
      <alignment horizontal="center"/>
    </xf>
    <xf numFmtId="0" fontId="5" fillId="0" borderId="88" xfId="0" applyFont="1" applyBorder="1" applyAlignment="1"/>
    <xf numFmtId="0" fontId="5" fillId="0" borderId="89" xfId="0" applyFont="1" applyBorder="1" applyAlignment="1"/>
    <xf numFmtId="174" fontId="5" fillId="0" borderId="9" xfId="0" applyNumberFormat="1" applyFont="1" applyBorder="1" applyAlignment="1">
      <alignment horizontal="center"/>
    </xf>
    <xf numFmtId="167" fontId="5" fillId="0" borderId="0" xfId="0" applyNumberFormat="1" applyFont="1" applyAlignment="1">
      <alignment horizontal="center"/>
    </xf>
    <xf numFmtId="167" fontId="5" fillId="0" borderId="9" xfId="0" applyNumberFormat="1" applyFont="1" applyBorder="1" applyAlignment="1">
      <alignment horizontal="center"/>
    </xf>
    <xf numFmtId="0" fontId="5" fillId="0" borderId="90" xfId="0" applyFont="1" applyBorder="1" applyAlignment="1"/>
    <xf numFmtId="0" fontId="5" fillId="0" borderId="91" xfId="0" applyFont="1" applyBorder="1" applyAlignment="1"/>
    <xf numFmtId="0" fontId="72" fillId="0" borderId="0" xfId="0" applyFont="1" applyAlignment="1">
      <alignment horizontal="left"/>
    </xf>
    <xf numFmtId="0" fontId="11" fillId="0" borderId="12" xfId="0" applyFont="1" applyBorder="1" applyAlignment="1">
      <alignment horizontal="left"/>
    </xf>
    <xf numFmtId="167" fontId="5" fillId="0" borderId="13" xfId="0" applyNumberFormat="1" applyFont="1" applyBorder="1" applyAlignment="1">
      <alignment horizontal="center"/>
    </xf>
    <xf numFmtId="167" fontId="5" fillId="0" borderId="14" xfId="0" applyNumberFormat="1" applyFont="1" applyBorder="1" applyAlignment="1">
      <alignment horizontal="center"/>
    </xf>
    <xf numFmtId="0" fontId="31" fillId="0" borderId="0" xfId="0" applyFont="1" applyAlignment="1">
      <alignment horizontal="left"/>
    </xf>
    <xf numFmtId="167" fontId="11" fillId="2" borderId="13" xfId="0" applyNumberFormat="1" applyFont="1" applyFill="1" applyBorder="1" applyAlignment="1">
      <alignment horizontal="center"/>
    </xf>
    <xf numFmtId="0" fontId="5" fillId="5" borderId="5" xfId="0" applyFont="1" applyFill="1" applyBorder="1" applyAlignment="1"/>
    <xf numFmtId="0" fontId="5" fillId="5" borderId="4" xfId="0" applyFont="1" applyFill="1" applyBorder="1" applyAlignment="1"/>
    <xf numFmtId="0" fontId="74" fillId="0" borderId="0" xfId="0" applyFont="1"/>
    <xf numFmtId="10" fontId="12" fillId="0" borderId="7" xfId="0" applyNumberFormat="1" applyFont="1" applyBorder="1" applyAlignment="1"/>
    <xf numFmtId="0" fontId="75" fillId="0" borderId="0" xfId="0" applyFont="1" applyAlignment="1">
      <alignment horizontal="left"/>
    </xf>
    <xf numFmtId="1" fontId="5" fillId="0" borderId="3" xfId="0" applyNumberFormat="1" applyFont="1" applyBorder="1"/>
    <xf numFmtId="1" fontId="5" fillId="0" borderId="5" xfId="0" applyNumberFormat="1" applyFont="1" applyBorder="1"/>
    <xf numFmtId="1" fontId="5" fillId="0" borderId="4" xfId="0" applyNumberFormat="1" applyFont="1" applyBorder="1"/>
    <xf numFmtId="1" fontId="11" fillId="0" borderId="7" xfId="0" applyNumberFormat="1" applyFont="1" applyBorder="1"/>
    <xf numFmtId="10" fontId="12" fillId="0" borderId="5" xfId="0" applyNumberFormat="1" applyFont="1" applyBorder="1" applyAlignment="1">
      <alignment horizontal="right"/>
    </xf>
    <xf numFmtId="0" fontId="5" fillId="0" borderId="5" xfId="0" applyFont="1" applyBorder="1" applyAlignment="1">
      <alignment horizontal="center"/>
    </xf>
    <xf numFmtId="0" fontId="11" fillId="0" borderId="3" xfId="0" applyFont="1" applyBorder="1" applyAlignment="1">
      <alignment horizontal="center"/>
    </xf>
    <xf numFmtId="168" fontId="12" fillId="6" borderId="10" xfId="0" applyNumberFormat="1" applyFont="1" applyFill="1" applyBorder="1"/>
    <xf numFmtId="0" fontId="5" fillId="0" borderId="0" xfId="0" applyFont="1" applyAlignment="1">
      <alignment horizontal="center"/>
    </xf>
    <xf numFmtId="168" fontId="5" fillId="0" borderId="8" xfId="0" applyNumberFormat="1" applyFont="1" applyBorder="1" applyAlignment="1">
      <alignment horizontal="center"/>
    </xf>
    <xf numFmtId="168" fontId="5" fillId="0" borderId="8" xfId="0" applyNumberFormat="1" applyFont="1" applyBorder="1" applyAlignment="1">
      <alignment horizontal="center"/>
    </xf>
    <xf numFmtId="0" fontId="5" fillId="0" borderId="0" xfId="0" applyFont="1" applyAlignment="1">
      <alignment horizontal="right"/>
    </xf>
    <xf numFmtId="0" fontId="5" fillId="0" borderId="14" xfId="0" applyFont="1" applyBorder="1" applyAlignment="1">
      <alignment horizontal="center"/>
    </xf>
    <xf numFmtId="168" fontId="5" fillId="0" borderId="12" xfId="0" applyNumberFormat="1" applyFont="1" applyBorder="1" applyAlignment="1">
      <alignment horizontal="center"/>
    </xf>
    <xf numFmtId="170" fontId="5" fillId="0" borderId="8" xfId="0" applyNumberFormat="1" applyFont="1" applyBorder="1" applyAlignment="1">
      <alignment horizontal="center"/>
    </xf>
    <xf numFmtId="167" fontId="5" fillId="0" borderId="8" xfId="0" applyNumberFormat="1" applyFont="1" applyBorder="1" applyAlignment="1">
      <alignment horizontal="center"/>
    </xf>
    <xf numFmtId="174" fontId="5" fillId="0" borderId="0" xfId="0" applyNumberFormat="1" applyFont="1" applyAlignment="1">
      <alignment horizontal="center"/>
    </xf>
    <xf numFmtId="167" fontId="5" fillId="0" borderId="3" xfId="0" applyNumberFormat="1" applyFont="1" applyBorder="1" applyAlignment="1">
      <alignment horizontal="center"/>
    </xf>
    <xf numFmtId="167" fontId="5" fillId="0" borderId="5" xfId="0" applyNumberFormat="1" applyFont="1" applyBorder="1" applyAlignment="1">
      <alignment horizontal="center"/>
    </xf>
    <xf numFmtId="167" fontId="5" fillId="0" borderId="4" xfId="0" applyNumberFormat="1" applyFont="1" applyBorder="1" applyAlignment="1">
      <alignment horizontal="center"/>
    </xf>
    <xf numFmtId="167" fontId="11" fillId="2" borderId="4" xfId="0" applyNumberFormat="1" applyFont="1" applyFill="1" applyBorder="1" applyAlignment="1">
      <alignment horizontal="center"/>
    </xf>
    <xf numFmtId="0" fontId="15" fillId="5" borderId="5" xfId="0" applyFont="1" applyFill="1" applyBorder="1" applyAlignment="1"/>
    <xf numFmtId="0" fontId="8" fillId="0" borderId="7" xfId="0" quotePrefix="1" applyFont="1" applyBorder="1" applyAlignment="1">
      <alignment horizontal="center"/>
    </xf>
    <xf numFmtId="0" fontId="76" fillId="0" borderId="8" xfId="0" applyFont="1" applyBorder="1"/>
    <xf numFmtId="0" fontId="77" fillId="0" borderId="8" xfId="0" applyFont="1" applyBorder="1" applyAlignment="1">
      <alignment horizontal="left"/>
    </xf>
    <xf numFmtId="0" fontId="78" fillId="0" borderId="12" xfId="0" applyFont="1" applyBorder="1"/>
    <xf numFmtId="168" fontId="5" fillId="0" borderId="15" xfId="0" applyNumberFormat="1" applyFont="1" applyBorder="1" applyAlignment="1">
      <alignment horizontal="center"/>
    </xf>
    <xf numFmtId="170" fontId="5" fillId="0" borderId="11" xfId="0" applyNumberFormat="1" applyFont="1" applyBorder="1" applyAlignment="1">
      <alignment horizontal="center"/>
    </xf>
    <xf numFmtId="167" fontId="5" fillId="0" borderId="11" xfId="0" applyNumberFormat="1" applyFont="1" applyBorder="1" applyAlignment="1">
      <alignment horizontal="center"/>
    </xf>
    <xf numFmtId="167" fontId="5" fillId="0" borderId="15" xfId="0" applyNumberFormat="1" applyFont="1" applyBorder="1" applyAlignment="1">
      <alignment horizontal="center"/>
    </xf>
    <xf numFmtId="167" fontId="11" fillId="2" borderId="15" xfId="0" applyNumberFormat="1" applyFont="1" applyFill="1" applyBorder="1" applyAlignment="1">
      <alignment horizontal="center"/>
    </xf>
    <xf numFmtId="0" fontId="15" fillId="5" borderId="4" xfId="0" applyFont="1" applyFill="1" applyBorder="1" applyAlignment="1"/>
    <xf numFmtId="0" fontId="5" fillId="0" borderId="98" xfId="0" applyFont="1" applyBorder="1" applyAlignment="1">
      <alignment horizontal="center" wrapText="1"/>
    </xf>
    <xf numFmtId="0" fontId="5" fillId="0" borderId="98" xfId="0" applyFont="1" applyBorder="1" applyAlignment="1">
      <alignment horizontal="center"/>
    </xf>
    <xf numFmtId="0" fontId="2" fillId="0" borderId="0" xfId="0" applyFont="1" applyAlignment="1">
      <alignment wrapText="1"/>
    </xf>
    <xf numFmtId="44" fontId="5" fillId="0" borderId="89" xfId="0" applyNumberFormat="1" applyFont="1" applyBorder="1" applyAlignment="1">
      <alignment horizontal="center"/>
    </xf>
    <xf numFmtId="44" fontId="5" fillId="0" borderId="96" xfId="0" applyNumberFormat="1" applyFont="1" applyBorder="1" applyAlignment="1">
      <alignment horizontal="center"/>
    </xf>
    <xf numFmtId="0" fontId="9" fillId="6" borderId="0" xfId="0" applyFont="1" applyFill="1" applyAlignment="1"/>
    <xf numFmtId="0" fontId="0" fillId="6" borderId="0" xfId="0" applyFont="1" applyFill="1" applyAlignment="1">
      <alignment horizontal="left"/>
    </xf>
    <xf numFmtId="0" fontId="30" fillId="0" borderId="0" xfId="0" applyFont="1" applyAlignment="1"/>
    <xf numFmtId="0" fontId="31" fillId="0" borderId="0" xfId="0" applyFont="1"/>
    <xf numFmtId="0" fontId="19" fillId="0" borderId="0" xfId="0" applyFont="1" applyAlignment="1"/>
    <xf numFmtId="0" fontId="2" fillId="0" borderId="0" xfId="0" applyFont="1"/>
    <xf numFmtId="0" fontId="11" fillId="0" borderId="98" xfId="0" applyFont="1" applyBorder="1" applyAlignment="1">
      <alignment horizontal="center"/>
    </xf>
    <xf numFmtId="0" fontId="19" fillId="6" borderId="0" xfId="0" applyFont="1" applyFill="1" applyAlignment="1">
      <alignment horizontal="left"/>
    </xf>
    <xf numFmtId="0" fontId="11" fillId="0" borderId="102" xfId="0" applyFont="1" applyBorder="1" applyAlignment="1">
      <alignment horizontal="center"/>
    </xf>
    <xf numFmtId="44" fontId="5" fillId="0" borderId="24" xfId="0" applyNumberFormat="1" applyFont="1" applyBorder="1" applyAlignment="1">
      <alignment horizontal="center"/>
    </xf>
    <xf numFmtId="0" fontId="79" fillId="0" borderId="0" xfId="0" applyFont="1" applyAlignment="1">
      <alignment horizontal="center"/>
    </xf>
    <xf numFmtId="10" fontId="5" fillId="0" borderId="9" xfId="0" applyNumberFormat="1" applyFont="1" applyBorder="1" applyAlignment="1">
      <alignment horizontal="center"/>
    </xf>
    <xf numFmtId="10" fontId="5" fillId="0" borderId="14" xfId="0" applyNumberFormat="1" applyFont="1" applyBorder="1" applyAlignment="1">
      <alignment horizontal="center"/>
    </xf>
    <xf numFmtId="10" fontId="5" fillId="0" borderId="13" xfId="0" applyNumberFormat="1" applyFont="1" applyBorder="1" applyAlignment="1">
      <alignment horizontal="center"/>
    </xf>
    <xf numFmtId="0" fontId="80" fillId="0" borderId="0" xfId="0" applyFont="1" applyAlignment="1"/>
    <xf numFmtId="44" fontId="11" fillId="0" borderId="0" xfId="0" applyNumberFormat="1" applyFont="1" applyAlignment="1">
      <alignment horizontal="center"/>
    </xf>
    <xf numFmtId="167" fontId="5" fillId="0" borderId="89" xfId="0" applyNumberFormat="1" applyFont="1" applyBorder="1" applyAlignment="1">
      <alignment horizontal="center"/>
    </xf>
    <xf numFmtId="10" fontId="51" fillId="0" borderId="0" xfId="0" applyNumberFormat="1" applyFont="1" applyAlignment="1"/>
    <xf numFmtId="167" fontId="5" fillId="0" borderId="103" xfId="0" applyNumberFormat="1" applyFont="1" applyBorder="1" applyAlignment="1">
      <alignment horizontal="center"/>
    </xf>
    <xf numFmtId="167" fontId="5" fillId="0" borderId="96" xfId="0" applyNumberFormat="1" applyFont="1" applyBorder="1" applyAlignment="1">
      <alignment horizontal="center"/>
    </xf>
    <xf numFmtId="0" fontId="5" fillId="0" borderId="89" xfId="0" applyFont="1" applyBorder="1" applyAlignment="1">
      <alignment horizontal="left"/>
    </xf>
    <xf numFmtId="0" fontId="5" fillId="0" borderId="89" xfId="0" applyFont="1" applyBorder="1" applyAlignment="1">
      <alignment horizontal="center"/>
    </xf>
    <xf numFmtId="0" fontId="5" fillId="0" borderId="55" xfId="0" applyFont="1" applyBorder="1" applyAlignment="1">
      <alignment horizontal="center"/>
    </xf>
    <xf numFmtId="44" fontId="5" fillId="0" borderId="87" xfId="0" applyNumberFormat="1" applyFont="1" applyBorder="1" applyAlignment="1">
      <alignment horizontal="center"/>
    </xf>
    <xf numFmtId="0" fontId="5" fillId="0" borderId="104" xfId="0" applyFont="1" applyBorder="1" applyAlignment="1">
      <alignment horizontal="center"/>
    </xf>
    <xf numFmtId="0" fontId="5" fillId="0" borderId="105" xfId="0" applyFont="1" applyBorder="1" applyAlignment="1">
      <alignment horizontal="center"/>
    </xf>
    <xf numFmtId="0" fontId="5" fillId="0" borderId="83" xfId="0" applyFont="1" applyBorder="1" applyAlignment="1">
      <alignment horizontal="center"/>
    </xf>
    <xf numFmtId="44" fontId="5" fillId="0" borderId="104" xfId="0" applyNumberFormat="1" applyFont="1" applyBorder="1" applyAlignment="1">
      <alignment horizontal="center"/>
    </xf>
    <xf numFmtId="44" fontId="5" fillId="0" borderId="105" xfId="0" applyNumberFormat="1" applyFont="1" applyBorder="1" applyAlignment="1">
      <alignment horizontal="center"/>
    </xf>
    <xf numFmtId="44" fontId="5" fillId="0" borderId="91" xfId="0" applyNumberFormat="1" applyFont="1" applyBorder="1" applyAlignment="1">
      <alignment horizontal="center"/>
    </xf>
    <xf numFmtId="0" fontId="11" fillId="0" borderId="2" xfId="0" applyFont="1" applyBorder="1"/>
    <xf numFmtId="0" fontId="5" fillId="0" borderId="2" xfId="0" applyFont="1" applyBorder="1"/>
    <xf numFmtId="0" fontId="5" fillId="0" borderId="16" xfId="0" applyFont="1" applyBorder="1"/>
    <xf numFmtId="0" fontId="81" fillId="0" borderId="0" xfId="0" applyFont="1" applyAlignment="1"/>
    <xf numFmtId="0" fontId="5" fillId="0" borderId="8" xfId="0" applyFont="1" applyBorder="1"/>
    <xf numFmtId="0" fontId="11" fillId="9" borderId="107" xfId="0" applyFont="1" applyFill="1" applyBorder="1" applyAlignment="1"/>
    <xf numFmtId="44" fontId="11" fillId="9" borderId="14" xfId="0" applyNumberFormat="1" applyFont="1" applyFill="1" applyBorder="1"/>
    <xf numFmtId="44" fontId="11" fillId="9" borderId="13" xfId="0" applyNumberFormat="1" applyFont="1" applyFill="1" applyBorder="1"/>
    <xf numFmtId="0" fontId="5" fillId="0" borderId="0" xfId="0" applyFont="1" applyAlignment="1">
      <alignment horizontal="center" wrapText="1"/>
    </xf>
    <xf numFmtId="0" fontId="5" fillId="0" borderId="12" xfId="0" applyFont="1" applyBorder="1"/>
    <xf numFmtId="0" fontId="5" fillId="0" borderId="14" xfId="0" applyFont="1" applyBorder="1"/>
    <xf numFmtId="0" fontId="11" fillId="0" borderId="93" xfId="0" applyFont="1" applyBorder="1" applyAlignment="1"/>
    <xf numFmtId="0" fontId="5" fillId="0" borderId="2" xfId="0" applyFont="1" applyBorder="1" applyAlignment="1"/>
    <xf numFmtId="0" fontId="5" fillId="0" borderId="16" xfId="0" applyFont="1" applyBorder="1" applyAlignment="1"/>
    <xf numFmtId="0" fontId="11" fillId="0" borderId="8" xfId="0" applyFont="1" applyBorder="1" applyAlignment="1"/>
    <xf numFmtId="3" fontId="11" fillId="0" borderId="0" xfId="0" applyNumberFormat="1" applyFont="1" applyAlignment="1">
      <alignment horizontal="right"/>
    </xf>
    <xf numFmtId="0" fontId="5" fillId="0" borderId="9" xfId="0" applyFont="1" applyBorder="1" applyAlignment="1"/>
    <xf numFmtId="0" fontId="5" fillId="0" borderId="8" xfId="0" applyFont="1" applyBorder="1" applyAlignment="1"/>
    <xf numFmtId="0" fontId="11" fillId="0" borderId="2" xfId="0" applyFont="1" applyBorder="1" applyAlignment="1"/>
    <xf numFmtId="0" fontId="11" fillId="0" borderId="95" xfId="0" applyFont="1" applyBorder="1" applyAlignment="1"/>
    <xf numFmtId="3" fontId="11" fillId="0" borderId="90" xfId="0" applyNumberFormat="1" applyFont="1" applyBorder="1" applyAlignment="1">
      <alignment horizontal="right"/>
    </xf>
    <xf numFmtId="0" fontId="5" fillId="0" borderId="55" xfId="0" applyFont="1" applyBorder="1" applyAlignment="1"/>
    <xf numFmtId="167" fontId="5" fillId="0" borderId="55" xfId="0" applyNumberFormat="1" applyFont="1" applyBorder="1" applyAlignment="1"/>
    <xf numFmtId="0" fontId="5" fillId="0" borderId="12" xfId="0" applyFont="1" applyBorder="1" applyAlignment="1"/>
    <xf numFmtId="0" fontId="5" fillId="0" borderId="14" xfId="0" applyFont="1" applyBorder="1" applyAlignment="1"/>
    <xf numFmtId="0" fontId="5" fillId="0" borderId="114" xfId="0" applyFont="1" applyBorder="1" applyAlignment="1"/>
    <xf numFmtId="0" fontId="11" fillId="9" borderId="114" xfId="0" applyFont="1" applyFill="1" applyBorder="1"/>
    <xf numFmtId="0" fontId="11" fillId="21" borderId="95" xfId="0" applyFont="1" applyFill="1" applyBorder="1" applyAlignment="1">
      <alignment horizontal="center"/>
    </xf>
    <xf numFmtId="0" fontId="5" fillId="21" borderId="96" xfId="0" applyFont="1" applyFill="1" applyBorder="1" applyAlignment="1"/>
    <xf numFmtId="0" fontId="5" fillId="21" borderId="90" xfId="0" applyFont="1" applyFill="1" applyBorder="1" applyAlignment="1"/>
    <xf numFmtId="44" fontId="5" fillId="21" borderId="96" xfId="0" applyNumberFormat="1" applyFont="1" applyFill="1" applyBorder="1"/>
    <xf numFmtId="44" fontId="5" fillId="21" borderId="90" xfId="0" applyNumberFormat="1" applyFont="1" applyFill="1" applyBorder="1" applyAlignment="1"/>
    <xf numFmtId="44" fontId="11" fillId="21" borderId="97" xfId="0" applyNumberFormat="1" applyFont="1" applyFill="1" applyBorder="1" applyAlignment="1"/>
    <xf numFmtId="0" fontId="11" fillId="21" borderId="98" xfId="0" applyFont="1" applyFill="1" applyBorder="1" applyAlignment="1">
      <alignment horizontal="center"/>
    </xf>
    <xf numFmtId="0" fontId="5" fillId="21" borderId="0" xfId="0" applyFont="1" applyFill="1"/>
    <xf numFmtId="0" fontId="5" fillId="21" borderId="0" xfId="0" applyFont="1" applyFill="1" applyAlignment="1"/>
    <xf numFmtId="0" fontId="5" fillId="21" borderId="87" xfId="0" applyFont="1" applyFill="1" applyBorder="1" applyAlignment="1"/>
    <xf numFmtId="44" fontId="5" fillId="21" borderId="0" xfId="0" applyNumberFormat="1" applyFont="1" applyFill="1"/>
    <xf numFmtId="44" fontId="5" fillId="21" borderId="87" xfId="0" applyNumberFormat="1" applyFont="1" applyFill="1" applyBorder="1" applyAlignment="1"/>
    <xf numFmtId="44" fontId="5" fillId="21" borderId="9" xfId="0" applyNumberFormat="1" applyFont="1" applyFill="1" applyBorder="1" applyAlignment="1"/>
    <xf numFmtId="0" fontId="11" fillId="22" borderId="95" xfId="0" applyFont="1" applyFill="1" applyBorder="1" applyAlignment="1">
      <alignment horizontal="center"/>
    </xf>
    <xf numFmtId="0" fontId="5" fillId="22" borderId="96" xfId="0" applyFont="1" applyFill="1" applyBorder="1" applyAlignment="1"/>
    <xf numFmtId="0" fontId="5" fillId="22" borderId="90" xfId="0" applyFont="1" applyFill="1" applyBorder="1" applyAlignment="1"/>
    <xf numFmtId="44" fontId="5" fillId="22" borderId="96" xfId="0" applyNumberFormat="1" applyFont="1" applyFill="1" applyBorder="1"/>
    <xf numFmtId="0" fontId="5" fillId="22" borderId="90" xfId="0" applyFont="1" applyFill="1" applyBorder="1"/>
    <xf numFmtId="44" fontId="11" fillId="22" borderId="97" xfId="0" applyNumberFormat="1" applyFont="1" applyFill="1" applyBorder="1"/>
    <xf numFmtId="0" fontId="11" fillId="22" borderId="98" xfId="0" applyFont="1" applyFill="1" applyBorder="1" applyAlignment="1">
      <alignment horizontal="center"/>
    </xf>
    <xf numFmtId="0" fontId="5" fillId="22" borderId="0" xfId="0" applyFont="1" applyFill="1"/>
    <xf numFmtId="0" fontId="5" fillId="22" borderId="0" xfId="0" applyFont="1" applyFill="1" applyAlignment="1"/>
    <xf numFmtId="0" fontId="5" fillId="22" borderId="87" xfId="0" applyFont="1" applyFill="1" applyBorder="1" applyAlignment="1"/>
    <xf numFmtId="44" fontId="5" fillId="22" borderId="0" xfId="0" applyNumberFormat="1" applyFont="1" applyFill="1"/>
    <xf numFmtId="0" fontId="5" fillId="22" borderId="87" xfId="0" applyFont="1" applyFill="1" applyBorder="1"/>
    <xf numFmtId="0" fontId="5" fillId="22" borderId="9" xfId="0" applyFont="1" applyFill="1" applyBorder="1"/>
    <xf numFmtId="0" fontId="5" fillId="0" borderId="113" xfId="0" applyFont="1" applyBorder="1" applyAlignment="1">
      <alignment horizontal="left"/>
    </xf>
    <xf numFmtId="0" fontId="83" fillId="0" borderId="110" xfId="0" applyFont="1" applyBorder="1" applyAlignment="1"/>
    <xf numFmtId="0" fontId="5" fillId="0" borderId="110" xfId="0" applyFont="1" applyBorder="1"/>
    <xf numFmtId="0" fontId="5" fillId="0" borderId="111" xfId="0" applyFont="1" applyBorder="1"/>
    <xf numFmtId="0" fontId="5" fillId="0" borderId="93" xfId="0" applyFont="1" applyBorder="1" applyAlignment="1">
      <alignment horizontal="center"/>
    </xf>
    <xf numFmtId="0" fontId="5" fillId="0" borderId="93" xfId="0" applyFont="1" applyBorder="1" applyAlignment="1">
      <alignment horizontal="center"/>
    </xf>
    <xf numFmtId="0" fontId="5" fillId="0" borderId="94" xfId="0" applyFont="1" applyBorder="1" applyAlignment="1">
      <alignment horizontal="center"/>
    </xf>
    <xf numFmtId="4" fontId="5" fillId="0" borderId="87" xfId="0" applyNumberFormat="1" applyFont="1" applyBorder="1" applyAlignment="1">
      <alignment horizontal="center"/>
    </xf>
    <xf numFmtId="4" fontId="5" fillId="0" borderId="9" xfId="0" applyNumberFormat="1" applyFont="1" applyBorder="1" applyAlignment="1">
      <alignment horizontal="center"/>
    </xf>
    <xf numFmtId="0" fontId="5" fillId="0" borderId="98" xfId="0" applyFont="1" applyBorder="1" applyAlignment="1">
      <alignment horizontal="center"/>
    </xf>
    <xf numFmtId="0" fontId="5" fillId="0" borderId="87" xfId="0" applyFont="1" applyBorder="1" applyAlignment="1">
      <alignment horizontal="center"/>
    </xf>
    <xf numFmtId="0" fontId="5" fillId="0" borderId="84" xfId="0" applyFont="1" applyBorder="1" applyAlignment="1">
      <alignment horizontal="center"/>
    </xf>
    <xf numFmtId="0" fontId="9" fillId="0" borderId="109" xfId="0" applyFont="1" applyBorder="1" applyAlignment="1">
      <alignment horizontal="center"/>
    </xf>
    <xf numFmtId="2" fontId="5" fillId="0" borderId="87" xfId="0" applyNumberFormat="1" applyFont="1" applyBorder="1" applyAlignment="1">
      <alignment horizontal="center"/>
    </xf>
    <xf numFmtId="2" fontId="5" fillId="0" borderId="9" xfId="0" applyNumberFormat="1" applyFont="1" applyBorder="1" applyAlignment="1">
      <alignment horizontal="center"/>
    </xf>
    <xf numFmtId="0" fontId="5" fillId="0" borderId="109" xfId="0" applyFont="1" applyBorder="1" applyAlignment="1">
      <alignment horizontal="center"/>
    </xf>
    <xf numFmtId="0" fontId="5" fillId="0" borderId="101" xfId="0" applyFont="1" applyBorder="1" applyAlignment="1">
      <alignment horizontal="center" wrapText="1"/>
    </xf>
    <xf numFmtId="0" fontId="5" fillId="0" borderId="114" xfId="0" applyFont="1" applyBorder="1" applyAlignment="1">
      <alignment horizontal="center"/>
    </xf>
    <xf numFmtId="2" fontId="5" fillId="0" borderId="114" xfId="0" applyNumberFormat="1" applyFont="1" applyBorder="1" applyAlignment="1">
      <alignment horizontal="center"/>
    </xf>
    <xf numFmtId="44" fontId="5" fillId="0" borderId="14" xfId="0" applyNumberFormat="1" applyFont="1" applyBorder="1" applyAlignment="1"/>
    <xf numFmtId="44" fontId="5" fillId="0" borderId="13" xfId="0" applyNumberFormat="1" applyFont="1" applyBorder="1" applyAlignment="1"/>
    <xf numFmtId="0" fontId="11" fillId="0" borderId="7" xfId="0" applyFont="1" applyBorder="1" applyAlignment="1"/>
    <xf numFmtId="0" fontId="5" fillId="0" borderId="116" xfId="0" applyFont="1" applyBorder="1" applyAlignment="1"/>
    <xf numFmtId="44" fontId="5" fillId="0" borderId="24" xfId="0" applyNumberFormat="1" applyFont="1" applyBorder="1" applyAlignment="1"/>
    <xf numFmtId="0" fontId="5" fillId="0" borderId="60" xfId="0" applyFont="1" applyBorder="1" applyAlignment="1"/>
    <xf numFmtId="0" fontId="5" fillId="0" borderId="3" xfId="0" applyFont="1" applyBorder="1"/>
    <xf numFmtId="0" fontId="19" fillId="0" borderId="0" xfId="0" quotePrefix="1" applyFont="1" applyAlignment="1"/>
    <xf numFmtId="0" fontId="15" fillId="0" borderId="0" xfId="0" quotePrefix="1" applyFont="1" applyFill="1" applyBorder="1" applyAlignment="1"/>
    <xf numFmtId="0" fontId="21" fillId="0" borderId="0" xfId="0" quotePrefix="1" applyFont="1" applyAlignment="1">
      <alignment horizontal="left"/>
    </xf>
    <xf numFmtId="168" fontId="5" fillId="0" borderId="15" xfId="0" applyNumberFormat="1" applyFont="1" applyBorder="1" applyAlignment="1">
      <alignment horizontal="center" vertical="center"/>
    </xf>
    <xf numFmtId="44" fontId="11" fillId="2" borderId="32" xfId="0" applyNumberFormat="1" applyFont="1" applyFill="1" applyBorder="1"/>
    <xf numFmtId="3" fontId="12" fillId="6" borderId="2" xfId="0" applyNumberFormat="1" applyFont="1" applyFill="1" applyBorder="1" applyAlignment="1">
      <alignment horizontal="center"/>
    </xf>
    <xf numFmtId="3" fontId="5" fillId="0" borderId="0" xfId="0" applyNumberFormat="1" applyFont="1" applyBorder="1" applyAlignment="1">
      <alignment horizontal="center"/>
    </xf>
    <xf numFmtId="0" fontId="5" fillId="3" borderId="117" xfId="0" applyFont="1" applyFill="1" applyBorder="1" applyAlignment="1">
      <alignment horizontal="center"/>
    </xf>
    <xf numFmtId="44" fontId="5" fillId="0" borderId="118" xfId="0" applyNumberFormat="1" applyFont="1" applyBorder="1"/>
    <xf numFmtId="44" fontId="5" fillId="0" borderId="119" xfId="0" applyNumberFormat="1" applyFont="1" applyBorder="1"/>
    <xf numFmtId="44" fontId="5" fillId="0" borderId="120" xfId="0" applyNumberFormat="1" applyFont="1" applyBorder="1"/>
    <xf numFmtId="37" fontId="12" fillId="6" borderId="15" xfId="0" applyNumberFormat="1" applyFont="1" applyFill="1" applyBorder="1"/>
    <xf numFmtId="0" fontId="5" fillId="23" borderId="64" xfId="0" applyFont="1" applyFill="1" applyBorder="1" applyAlignment="1"/>
    <xf numFmtId="0" fontId="5" fillId="23" borderId="72" xfId="0" applyFont="1" applyFill="1" applyBorder="1" applyAlignment="1"/>
    <xf numFmtId="0" fontId="11" fillId="24" borderId="3" xfId="0" applyFont="1" applyFill="1" applyBorder="1" applyAlignment="1"/>
    <xf numFmtId="0" fontId="5" fillId="29" borderId="57" xfId="0" applyFont="1" applyFill="1" applyBorder="1"/>
    <xf numFmtId="0" fontId="12" fillId="0" borderId="4" xfId="0" applyFont="1" applyBorder="1" applyAlignment="1">
      <alignment wrapText="1"/>
    </xf>
    <xf numFmtId="0" fontId="0" fillId="0" borderId="0" xfId="0" applyFont="1" applyAlignment="1">
      <alignment horizontal="center"/>
    </xf>
    <xf numFmtId="3" fontId="9" fillId="0" borderId="0" xfId="0" applyNumberFormat="1" applyFont="1" applyAlignment="1">
      <alignment horizontal="center"/>
    </xf>
    <xf numFmtId="10" fontId="9" fillId="0" borderId="0" xfId="0" applyNumberFormat="1" applyFont="1" applyAlignment="1">
      <alignment horizontal="center"/>
    </xf>
    <xf numFmtId="9" fontId="9" fillId="0" borderId="0" xfId="0" applyNumberFormat="1" applyFont="1" applyAlignment="1">
      <alignment horizontal="center"/>
    </xf>
    <xf numFmtId="0" fontId="5" fillId="0" borderId="0" xfId="0" applyFont="1" applyFill="1" applyAlignment="1"/>
    <xf numFmtId="0" fontId="18" fillId="0" borderId="0" xfId="0" applyFont="1" applyFill="1" applyBorder="1" applyAlignment="1"/>
    <xf numFmtId="0" fontId="0" fillId="0" borderId="0" xfId="0" applyFont="1" applyFill="1" applyBorder="1" applyAlignment="1"/>
    <xf numFmtId="3" fontId="5" fillId="0" borderId="84" xfId="0" applyNumberFormat="1" applyFont="1" applyBorder="1" applyAlignment="1">
      <alignment horizontal="right"/>
    </xf>
    <xf numFmtId="3" fontId="5" fillId="0" borderId="84" xfId="0" applyNumberFormat="1" applyFont="1" applyFill="1" applyBorder="1" applyAlignment="1">
      <alignment horizontal="right"/>
    </xf>
    <xf numFmtId="9" fontId="14" fillId="0" borderId="14" xfId="0" applyNumberFormat="1" applyFont="1" applyFill="1" applyBorder="1" applyAlignment="1"/>
    <xf numFmtId="9" fontId="9" fillId="0" borderId="14" xfId="0" applyNumberFormat="1" applyFont="1" applyFill="1" applyBorder="1"/>
    <xf numFmtId="9" fontId="9" fillId="0" borderId="13" xfId="0" applyNumberFormat="1" applyFont="1" applyFill="1" applyBorder="1"/>
    <xf numFmtId="0" fontId="5" fillId="0" borderId="0" xfId="0" applyFont="1" applyBorder="1" applyAlignment="1">
      <alignment horizontal="center"/>
    </xf>
    <xf numFmtId="168" fontId="5" fillId="0" borderId="0" xfId="0" applyNumberFormat="1" applyFont="1" applyBorder="1" applyAlignment="1">
      <alignment horizontal="center"/>
    </xf>
    <xf numFmtId="0" fontId="11" fillId="0" borderId="2" xfId="0" applyFont="1" applyBorder="1" applyAlignment="1">
      <alignment horizontal="center"/>
    </xf>
    <xf numFmtId="0" fontId="11" fillId="0" borderId="16" xfId="0" applyFont="1" applyBorder="1" applyAlignment="1">
      <alignment horizontal="center"/>
    </xf>
    <xf numFmtId="168" fontId="5" fillId="0" borderId="124" xfId="0" applyNumberFormat="1" applyFont="1" applyBorder="1" applyAlignment="1">
      <alignment horizontal="center"/>
    </xf>
    <xf numFmtId="168" fontId="5" fillId="0" borderId="130" xfId="0" applyNumberFormat="1" applyFont="1" applyBorder="1" applyAlignment="1">
      <alignment horizontal="center"/>
    </xf>
    <xf numFmtId="168" fontId="5" fillId="0" borderId="125" xfId="0" applyNumberFormat="1" applyFont="1" applyBorder="1" applyAlignment="1">
      <alignment horizontal="center"/>
    </xf>
    <xf numFmtId="168" fontId="5" fillId="0" borderId="128" xfId="0" applyNumberFormat="1" applyFont="1" applyBorder="1" applyAlignment="1">
      <alignment horizontal="center"/>
    </xf>
    <xf numFmtId="168" fontId="5" fillId="0" borderId="121" xfId="0" applyNumberFormat="1" applyFont="1" applyBorder="1" applyAlignment="1">
      <alignment horizontal="center"/>
    </xf>
    <xf numFmtId="168" fontId="5" fillId="0" borderId="126" xfId="0" applyNumberFormat="1" applyFont="1" applyBorder="1" applyAlignment="1">
      <alignment horizontal="center"/>
    </xf>
    <xf numFmtId="168" fontId="5" fillId="0" borderId="131" xfId="0" applyNumberFormat="1" applyFont="1" applyBorder="1" applyAlignment="1">
      <alignment horizontal="center"/>
    </xf>
    <xf numFmtId="168" fontId="5" fillId="0" borderId="127" xfId="0" applyNumberFormat="1" applyFont="1" applyBorder="1" applyAlignment="1">
      <alignment horizontal="center"/>
    </xf>
    <xf numFmtId="44" fontId="5" fillId="0" borderId="130" xfId="0" applyNumberFormat="1" applyFont="1" applyBorder="1" applyAlignment="1">
      <alignment horizontal="center"/>
    </xf>
    <xf numFmtId="44" fontId="5" fillId="0" borderId="131" xfId="0" applyNumberFormat="1" applyFont="1" applyBorder="1" applyAlignment="1">
      <alignment horizontal="center"/>
    </xf>
    <xf numFmtId="44" fontId="5" fillId="0" borderId="0" xfId="0" applyNumberFormat="1" applyFont="1" applyBorder="1" applyAlignment="1">
      <alignment horizontal="center"/>
    </xf>
    <xf numFmtId="44" fontId="5" fillId="0" borderId="136" xfId="0" applyNumberFormat="1" applyFont="1" applyBorder="1" applyAlignment="1">
      <alignment horizontal="center"/>
    </xf>
    <xf numFmtId="44" fontId="5" fillId="0" borderId="135" xfId="0" applyNumberFormat="1" applyFont="1" applyBorder="1" applyAlignment="1">
      <alignment horizontal="center"/>
    </xf>
    <xf numFmtId="44" fontId="11" fillId="0" borderId="134" xfId="0" applyNumberFormat="1" applyFont="1" applyBorder="1" applyAlignment="1">
      <alignment horizontal="center"/>
    </xf>
    <xf numFmtId="4" fontId="11" fillId="0" borderId="135" xfId="0" applyNumberFormat="1" applyFont="1" applyBorder="1" applyAlignment="1">
      <alignment horizontal="center"/>
    </xf>
    <xf numFmtId="0" fontId="5" fillId="0" borderId="131" xfId="0" applyFont="1" applyBorder="1" applyAlignment="1">
      <alignment horizontal="center"/>
    </xf>
    <xf numFmtId="3" fontId="5" fillId="0" borderId="130" xfId="0" applyNumberFormat="1" applyFont="1" applyBorder="1" applyAlignment="1">
      <alignment horizontal="center"/>
    </xf>
    <xf numFmtId="4" fontId="5" fillId="0" borderId="131" xfId="0" applyNumberFormat="1" applyFont="1" applyBorder="1" applyAlignment="1">
      <alignment horizontal="center"/>
    </xf>
    <xf numFmtId="3" fontId="5" fillId="0" borderId="136" xfId="0" applyNumberFormat="1" applyFont="1" applyBorder="1" applyAlignment="1">
      <alignment horizontal="center"/>
    </xf>
    <xf numFmtId="3" fontId="5" fillId="0" borderId="134" xfId="0" applyNumberFormat="1" applyFont="1" applyBorder="1" applyAlignment="1">
      <alignment horizontal="center"/>
    </xf>
    <xf numFmtId="3" fontId="11" fillId="0" borderId="136" xfId="0" applyNumberFormat="1" applyFont="1" applyBorder="1" applyAlignment="1">
      <alignment horizontal="center"/>
    </xf>
    <xf numFmtId="0" fontId="11" fillId="3" borderId="137" xfId="0" applyFont="1" applyFill="1" applyBorder="1" applyAlignment="1">
      <alignment horizontal="center"/>
    </xf>
    <xf numFmtId="3" fontId="11" fillId="0" borderId="138" xfId="0" applyNumberFormat="1" applyFont="1" applyBorder="1" applyAlignment="1">
      <alignment horizontal="center"/>
    </xf>
    <xf numFmtId="44" fontId="5" fillId="0" borderId="134" xfId="0" applyNumberFormat="1" applyFont="1" applyBorder="1" applyAlignment="1">
      <alignment horizontal="center"/>
    </xf>
    <xf numFmtId="44" fontId="11" fillId="0" borderId="138" xfId="0" applyNumberFormat="1" applyFont="1" applyBorder="1" applyAlignment="1">
      <alignment horizontal="center"/>
    </xf>
    <xf numFmtId="0" fontId="11" fillId="0" borderId="0" xfId="0" applyFont="1" applyFill="1" applyBorder="1" applyAlignment="1"/>
    <xf numFmtId="165" fontId="11" fillId="0" borderId="0" xfId="0" applyNumberFormat="1" applyFont="1" applyFill="1" applyBorder="1" applyAlignment="1">
      <alignment horizontal="right"/>
    </xf>
    <xf numFmtId="44" fontId="5" fillId="0" borderId="0" xfId="0" applyNumberFormat="1" applyFont="1" applyBorder="1" applyAlignment="1"/>
    <xf numFmtId="44" fontId="5" fillId="0" borderId="0" xfId="0" applyNumberFormat="1" applyFont="1" applyBorder="1"/>
    <xf numFmtId="44" fontId="5" fillId="0" borderId="131" xfId="0" applyNumberFormat="1" applyFont="1" applyBorder="1" applyAlignment="1"/>
    <xf numFmtId="44" fontId="5" fillId="0" borderId="131" xfId="0" applyNumberFormat="1" applyFont="1" applyBorder="1"/>
    <xf numFmtId="44" fontId="11" fillId="0" borderId="117" xfId="0" applyNumberFormat="1" applyFont="1" applyBorder="1" applyAlignment="1">
      <alignment horizontal="center"/>
    </xf>
    <xf numFmtId="10" fontId="5" fillId="0" borderId="135" xfId="0" applyNumberFormat="1" applyFont="1" applyBorder="1" applyAlignment="1"/>
    <xf numFmtId="44" fontId="5" fillId="0" borderId="130" xfId="0" applyNumberFormat="1" applyFont="1" applyBorder="1" applyAlignment="1"/>
    <xf numFmtId="44" fontId="5" fillId="0" borderId="130" xfId="0" applyNumberFormat="1" applyFont="1" applyBorder="1"/>
    <xf numFmtId="10" fontId="5" fillId="0" borderId="136" xfId="0" applyNumberFormat="1" applyFont="1" applyBorder="1"/>
    <xf numFmtId="10" fontId="5" fillId="0" borderId="135" xfId="0" applyNumberFormat="1" applyFont="1" applyBorder="1"/>
    <xf numFmtId="0" fontId="11" fillId="0" borderId="0" xfId="0" applyFont="1" applyAlignment="1"/>
    <xf numFmtId="0" fontId="0" fillId="0" borderId="0" xfId="0" applyFont="1" applyAlignment="1"/>
    <xf numFmtId="0" fontId="5" fillId="0" borderId="0" xfId="0" applyFont="1" applyAlignment="1"/>
    <xf numFmtId="0" fontId="11" fillId="0" borderId="0" xfId="0" applyFont="1" applyFill="1" applyBorder="1" applyAlignment="1">
      <alignment horizontal="center"/>
    </xf>
    <xf numFmtId="0" fontId="14" fillId="0" borderId="0" xfId="0" applyFont="1" applyFill="1" applyBorder="1"/>
    <xf numFmtId="44" fontId="11" fillId="0" borderId="132" xfId="0" applyNumberFormat="1" applyFont="1" applyBorder="1" applyAlignment="1">
      <alignment horizontal="center"/>
    </xf>
    <xf numFmtId="0" fontId="14" fillId="0" borderId="132" xfId="0" applyFont="1" applyBorder="1"/>
    <xf numFmtId="0" fontId="5" fillId="0" borderId="0" xfId="0" applyFont="1"/>
    <xf numFmtId="0" fontId="11" fillId="31" borderId="0" xfId="0" applyFont="1" applyFill="1" applyAlignment="1">
      <alignment wrapText="1"/>
    </xf>
    <xf numFmtId="0" fontId="17" fillId="31" borderId="0" xfId="0" applyFont="1" applyFill="1" applyAlignment="1"/>
    <xf numFmtId="0" fontId="14" fillId="0" borderId="0" xfId="2"/>
    <xf numFmtId="164" fontId="14" fillId="0" borderId="0" xfId="2" applyNumberFormat="1"/>
    <xf numFmtId="165" fontId="14" fillId="0" borderId="0" xfId="2" applyNumberFormat="1"/>
    <xf numFmtId="0" fontId="14" fillId="0" borderId="0" xfId="2" applyBorder="1"/>
    <xf numFmtId="0" fontId="14" fillId="0" borderId="0" xfId="2" applyBorder="1" applyAlignment="1">
      <alignment horizontal="center"/>
    </xf>
    <xf numFmtId="0" fontId="87" fillId="0" borderId="0" xfId="2" applyFont="1" applyBorder="1"/>
    <xf numFmtId="164" fontId="14" fillId="0" borderId="0" xfId="2" applyNumberFormat="1" applyBorder="1"/>
    <xf numFmtId="10" fontId="14" fillId="0" borderId="0" xfId="2" applyNumberFormat="1" applyBorder="1"/>
    <xf numFmtId="165" fontId="14" fillId="0" borderId="0" xfId="2" applyNumberFormat="1" applyBorder="1"/>
    <xf numFmtId="3" fontId="14" fillId="0" borderId="0" xfId="2" applyNumberFormat="1" applyBorder="1"/>
    <xf numFmtId="0" fontId="26" fillId="2" borderId="0" xfId="0" applyFont="1" applyFill="1" applyAlignment="1">
      <alignment wrapText="1"/>
    </xf>
    <xf numFmtId="0" fontId="0" fillId="0" borderId="0" xfId="0" applyFont="1" applyAlignment="1"/>
    <xf numFmtId="0" fontId="5" fillId="0" borderId="0" xfId="0" applyFont="1"/>
    <xf numFmtId="0" fontId="92" fillId="0" borderId="0" xfId="5"/>
    <xf numFmtId="0" fontId="93" fillId="0" borderId="0" xfId="5" applyFont="1" applyAlignment="1">
      <alignment horizontal="center"/>
    </xf>
    <xf numFmtId="0" fontId="0" fillId="0" borderId="0" xfId="0" applyFont="1" applyBorder="1" applyAlignment="1"/>
    <xf numFmtId="0" fontId="11" fillId="0" borderId="0" xfId="0" applyFont="1" applyBorder="1" applyAlignment="1">
      <alignment horizontal="center" vertical="top" wrapText="1"/>
    </xf>
    <xf numFmtId="10" fontId="5" fillId="0" borderId="0" xfId="0" applyNumberFormat="1" applyFont="1" applyBorder="1"/>
    <xf numFmtId="0" fontId="5" fillId="0" borderId="0" xfId="0" applyFont="1" applyBorder="1"/>
    <xf numFmtId="0" fontId="5" fillId="16" borderId="0" xfId="0" applyFont="1" applyFill="1" applyBorder="1"/>
    <xf numFmtId="10" fontId="40" fillId="6" borderId="0" xfId="0" applyNumberFormat="1" applyFont="1" applyFill="1" applyBorder="1" applyAlignment="1"/>
    <xf numFmtId="0" fontId="0" fillId="0" borderId="150" xfId="0" applyFont="1" applyBorder="1" applyAlignment="1"/>
    <xf numFmtId="0" fontId="0" fillId="0" borderId="150" xfId="0" applyFont="1" applyFill="1" applyBorder="1" applyAlignment="1"/>
    <xf numFmtId="0" fontId="5" fillId="0" borderId="0" xfId="0" applyFont="1" applyFill="1" applyBorder="1"/>
    <xf numFmtId="165" fontId="5" fillId="0" borderId="0" xfId="0" applyNumberFormat="1" applyFont="1" applyFill="1" applyBorder="1" applyAlignment="1"/>
    <xf numFmtId="0" fontId="5" fillId="0" borderId="0" xfId="0" applyFont="1" applyFill="1"/>
    <xf numFmtId="165" fontId="12" fillId="0" borderId="150" xfId="0" applyNumberFormat="1" applyFont="1" applyFill="1" applyBorder="1" applyAlignment="1"/>
    <xf numFmtId="165" fontId="12" fillId="0" borderId="150" xfId="0" applyNumberFormat="1" applyFont="1" applyBorder="1" applyAlignment="1"/>
    <xf numFmtId="165" fontId="11" fillId="0" borderId="0" xfId="0" applyNumberFormat="1" applyFont="1" applyFill="1" applyBorder="1" applyAlignment="1"/>
    <xf numFmtId="10" fontId="40" fillId="0" borderId="0" xfId="0" applyNumberFormat="1" applyFont="1" applyFill="1" applyBorder="1" applyAlignment="1"/>
    <xf numFmtId="165" fontId="11" fillId="0" borderId="0" xfId="0" applyNumberFormat="1" applyFont="1" applyBorder="1" applyAlignment="1"/>
    <xf numFmtId="0" fontId="34" fillId="0" borderId="134" xfId="0" applyFont="1" applyBorder="1" applyAlignment="1">
      <alignment horizontal="center"/>
    </xf>
    <xf numFmtId="0" fontId="34" fillId="0" borderId="135" xfId="0" applyFont="1" applyFill="1" applyBorder="1" applyAlignment="1">
      <alignment horizontal="center"/>
    </xf>
    <xf numFmtId="10" fontId="5" fillId="0" borderId="0" xfId="0" applyNumberFormat="1" applyFont="1" applyBorder="1" applyAlignment="1">
      <alignment horizontal="center"/>
    </xf>
    <xf numFmtId="0" fontId="34" fillId="0" borderId="117" xfId="0" applyFont="1" applyBorder="1" applyAlignment="1">
      <alignment horizontal="center"/>
    </xf>
    <xf numFmtId="10" fontId="34" fillId="0" borderId="132" xfId="0" applyNumberFormat="1" applyFont="1" applyBorder="1" applyAlignment="1">
      <alignment horizontal="center"/>
    </xf>
    <xf numFmtId="10" fontId="34" fillId="0" borderId="123" xfId="0" applyNumberFormat="1" applyFont="1" applyBorder="1" applyAlignment="1">
      <alignment horizontal="center"/>
    </xf>
    <xf numFmtId="10" fontId="34" fillId="0" borderId="131" xfId="0" applyNumberFormat="1" applyFont="1" applyBorder="1" applyAlignment="1">
      <alignment horizontal="center" vertical="center"/>
    </xf>
    <xf numFmtId="10" fontId="34" fillId="0" borderId="127" xfId="0" applyNumberFormat="1" applyFont="1" applyBorder="1" applyAlignment="1">
      <alignment horizontal="center" vertical="center"/>
    </xf>
    <xf numFmtId="0" fontId="0" fillId="0" borderId="0" xfId="0" applyFont="1" applyFill="1" applyAlignment="1"/>
    <xf numFmtId="0" fontId="42" fillId="0" borderId="0" xfId="0" applyFont="1" applyFill="1" applyAlignment="1"/>
    <xf numFmtId="0" fontId="10" fillId="0" borderId="0" xfId="0" applyFont="1" applyFill="1"/>
    <xf numFmtId="0" fontId="15" fillId="0" borderId="0" xfId="2" applyFont="1"/>
    <xf numFmtId="0" fontId="15" fillId="0" borderId="139" xfId="2" applyFont="1" applyBorder="1"/>
    <xf numFmtId="0" fontId="15" fillId="0" borderId="0" xfId="2" applyFont="1" applyAlignment="1">
      <alignment horizontal="left"/>
    </xf>
    <xf numFmtId="0" fontId="15" fillId="0" borderId="140" xfId="2" applyFont="1" applyBorder="1"/>
    <xf numFmtId="0" fontId="15" fillId="0" borderId="0" xfId="2" applyFont="1" applyAlignment="1">
      <alignment horizontal="right"/>
    </xf>
    <xf numFmtId="0" fontId="8" fillId="0" borderId="0" xfId="2" applyFont="1"/>
    <xf numFmtId="0" fontId="15" fillId="0" borderId="124" xfId="2" applyFont="1" applyBorder="1"/>
    <xf numFmtId="0" fontId="15" fillId="0" borderId="141" xfId="2" applyFont="1" applyBorder="1"/>
    <xf numFmtId="0" fontId="15" fillId="0" borderId="126" xfId="2" applyFont="1" applyBorder="1"/>
    <xf numFmtId="0" fontId="8" fillId="0" borderId="124" xfId="2" applyFont="1" applyBorder="1"/>
    <xf numFmtId="0" fontId="8" fillId="0" borderId="130" xfId="2" applyFont="1" applyBorder="1"/>
    <xf numFmtId="0" fontId="8" fillId="0" borderId="125" xfId="2" applyFont="1" applyBorder="1"/>
    <xf numFmtId="0" fontId="8" fillId="0" borderId="142" xfId="2" applyFont="1" applyBorder="1"/>
    <xf numFmtId="0" fontId="8" fillId="0" borderId="143" xfId="2" applyFont="1" applyBorder="1"/>
    <xf numFmtId="10" fontId="15" fillId="0" borderId="144" xfId="2" applyNumberFormat="1" applyFont="1" applyBorder="1"/>
    <xf numFmtId="3" fontId="15" fillId="0" borderId="144" xfId="2" applyNumberFormat="1" applyFont="1" applyBorder="1"/>
    <xf numFmtId="165" fontId="15" fillId="0" borderId="143" xfId="2" applyNumberFormat="1" applyFont="1" applyBorder="1"/>
    <xf numFmtId="165" fontId="15" fillId="0" borderId="146" xfId="2" applyNumberFormat="1" applyFont="1" applyBorder="1"/>
    <xf numFmtId="0" fontId="8" fillId="0" borderId="122" xfId="2" applyFont="1" applyBorder="1"/>
    <xf numFmtId="0" fontId="8" fillId="0" borderId="132" xfId="2" applyFont="1" applyBorder="1"/>
    <xf numFmtId="0" fontId="8" fillId="0" borderId="123" xfId="2" applyFont="1" applyBorder="1"/>
    <xf numFmtId="10" fontId="15" fillId="0" borderId="148" xfId="2" applyNumberFormat="1" applyFont="1" applyBorder="1"/>
    <xf numFmtId="165" fontId="15" fillId="0" borderId="149" xfId="2" applyNumberFormat="1" applyFont="1" applyBorder="1"/>
    <xf numFmtId="10" fontId="15" fillId="0" borderId="0" xfId="2" applyNumberFormat="1" applyFont="1" applyBorder="1"/>
    <xf numFmtId="3" fontId="15" fillId="0" borderId="0" xfId="2" applyNumberFormat="1" applyFont="1" applyBorder="1"/>
    <xf numFmtId="10" fontId="15" fillId="0" borderId="150" xfId="2" applyNumberFormat="1" applyFont="1" applyBorder="1"/>
    <xf numFmtId="3" fontId="15" fillId="0" borderId="150" xfId="2" applyNumberFormat="1" applyFont="1" applyBorder="1"/>
    <xf numFmtId="165" fontId="15" fillId="0" borderId="152" xfId="2" applyNumberFormat="1" applyFont="1" applyBorder="1"/>
    <xf numFmtId="0" fontId="0" fillId="0" borderId="0" xfId="0"/>
    <xf numFmtId="0" fontId="95" fillId="0" borderId="0" xfId="0" applyFont="1" applyAlignment="1">
      <alignment horizontal="left"/>
    </xf>
    <xf numFmtId="0" fontId="95" fillId="0" borderId="0" xfId="0" applyFont="1" applyAlignment="1">
      <alignment horizontal="center"/>
    </xf>
    <xf numFmtId="9" fontId="95" fillId="0" borderId="0" xfId="0" applyNumberFormat="1" applyFont="1" applyAlignment="1">
      <alignment horizontal="center"/>
    </xf>
    <xf numFmtId="0" fontId="97" fillId="0" borderId="0" xfId="0" applyFont="1" applyAlignment="1"/>
    <xf numFmtId="0" fontId="97" fillId="0" borderId="83" xfId="0" applyFont="1" applyBorder="1" applyAlignment="1">
      <alignment horizontal="left"/>
    </xf>
    <xf numFmtId="0" fontId="97" fillId="0" borderId="17" xfId="0" applyFont="1" applyBorder="1" applyAlignment="1">
      <alignment horizontal="center"/>
    </xf>
    <xf numFmtId="9" fontId="97" fillId="0" borderId="154" xfId="0" applyNumberFormat="1" applyFont="1" applyBorder="1" applyAlignment="1">
      <alignment horizontal="center"/>
    </xf>
    <xf numFmtId="0" fontId="97" fillId="0" borderId="0" xfId="0" applyFont="1"/>
    <xf numFmtId="0" fontId="97" fillId="0" borderId="155" xfId="0" applyFont="1" applyBorder="1" applyAlignment="1">
      <alignment horizontal="center"/>
    </xf>
    <xf numFmtId="9" fontId="97" fillId="0" borderId="156" xfId="0" applyNumberFormat="1" applyFont="1" applyBorder="1" applyAlignment="1">
      <alignment horizontal="center"/>
    </xf>
    <xf numFmtId="0" fontId="97" fillId="0" borderId="157" xfId="0" applyFont="1" applyBorder="1" applyAlignment="1">
      <alignment horizontal="center"/>
    </xf>
    <xf numFmtId="9" fontId="97" fillId="0" borderId="158" xfId="0" applyNumberFormat="1" applyFont="1" applyBorder="1" applyAlignment="1">
      <alignment horizontal="center"/>
    </xf>
    <xf numFmtId="0" fontId="97" fillId="32" borderId="53" xfId="0" applyFont="1" applyFill="1" applyBorder="1" applyAlignment="1">
      <alignment horizontal="center"/>
    </xf>
    <xf numFmtId="0" fontId="5" fillId="0" borderId="163" xfId="0" applyFont="1" applyBorder="1" applyAlignment="1"/>
    <xf numFmtId="0" fontId="5" fillId="0" borderId="165" xfId="0" applyFont="1" applyBorder="1" applyAlignment="1"/>
    <xf numFmtId="9" fontId="5" fillId="0" borderId="166" xfId="0" applyNumberFormat="1" applyFont="1" applyBorder="1" applyAlignment="1">
      <alignment horizontal="right"/>
    </xf>
    <xf numFmtId="0" fontId="11" fillId="0" borderId="169" xfId="0" applyFont="1" applyBorder="1" applyAlignment="1"/>
    <xf numFmtId="9" fontId="11" fillId="0" borderId="170" xfId="0" applyNumberFormat="1" applyFont="1" applyBorder="1" applyAlignment="1">
      <alignment horizontal="right"/>
    </xf>
    <xf numFmtId="0" fontId="5" fillId="0" borderId="167" xfId="0" applyFont="1" applyBorder="1" applyAlignment="1"/>
    <xf numFmtId="0" fontId="9" fillId="0" borderId="0" xfId="7" applyFont="1"/>
    <xf numFmtId="0" fontId="19" fillId="0" borderId="0" xfId="7"/>
    <xf numFmtId="9" fontId="9" fillId="0" borderId="0" xfId="7" applyNumberFormat="1" applyFont="1"/>
    <xf numFmtId="0" fontId="5" fillId="0" borderId="173" xfId="0" applyFont="1" applyBorder="1" applyAlignment="1">
      <alignment horizontal="center"/>
    </xf>
    <xf numFmtId="0" fontId="5" fillId="0" borderId="128" xfId="0" applyFont="1" applyBorder="1" applyAlignment="1">
      <alignment horizontal="center"/>
    </xf>
    <xf numFmtId="167" fontId="5" fillId="0" borderId="0" xfId="0" applyNumberFormat="1" applyFont="1" applyBorder="1" applyAlignment="1">
      <alignment horizontal="center"/>
    </xf>
    <xf numFmtId="167" fontId="5" fillId="0" borderId="121" xfId="0" applyNumberFormat="1" applyFont="1" applyBorder="1" applyAlignment="1">
      <alignment horizontal="center"/>
    </xf>
    <xf numFmtId="0" fontId="5" fillId="0" borderId="183" xfId="0" applyFont="1" applyBorder="1" applyAlignment="1">
      <alignment horizontal="center"/>
    </xf>
    <xf numFmtId="167" fontId="5" fillId="0" borderId="184" xfId="0" applyNumberFormat="1" applyFont="1" applyBorder="1" applyAlignment="1">
      <alignment horizontal="center"/>
    </xf>
    <xf numFmtId="174" fontId="11" fillId="0" borderId="0" xfId="0" applyNumberFormat="1" applyFont="1" applyBorder="1" applyAlignment="1">
      <alignment horizontal="center"/>
    </xf>
    <xf numFmtId="44" fontId="5" fillId="0" borderId="121" xfId="0" applyNumberFormat="1" applyFont="1" applyBorder="1" applyAlignment="1">
      <alignment horizontal="center"/>
    </xf>
    <xf numFmtId="0" fontId="11" fillId="0" borderId="128" xfId="0" applyFont="1" applyBorder="1" applyAlignment="1">
      <alignment horizontal="center"/>
    </xf>
    <xf numFmtId="0" fontId="11" fillId="0" borderId="182" xfId="0" applyFont="1" applyBorder="1" applyAlignment="1">
      <alignment horizontal="center"/>
    </xf>
    <xf numFmtId="44" fontId="5" fillId="0" borderId="173" xfId="0" applyNumberFormat="1" applyFont="1" applyBorder="1" applyAlignment="1">
      <alignment horizontal="center"/>
    </xf>
    <xf numFmtId="0" fontId="11" fillId="0" borderId="187" xfId="0" applyFont="1" applyBorder="1" applyAlignment="1">
      <alignment horizontal="center"/>
    </xf>
    <xf numFmtId="167" fontId="5" fillId="0" borderId="0" xfId="0" applyNumberFormat="1" applyFont="1" applyBorder="1"/>
    <xf numFmtId="167" fontId="11" fillId="0" borderId="0" xfId="0" applyNumberFormat="1" applyFont="1" applyBorder="1" applyAlignment="1">
      <alignment horizontal="center"/>
    </xf>
    <xf numFmtId="0" fontId="5" fillId="0" borderId="188" xfId="0" applyFont="1" applyBorder="1" applyAlignment="1">
      <alignment horizontal="center"/>
    </xf>
    <xf numFmtId="167" fontId="5" fillId="0" borderId="189" xfId="0" applyNumberFormat="1" applyFont="1" applyBorder="1" applyAlignment="1">
      <alignment horizontal="center"/>
    </xf>
    <xf numFmtId="0" fontId="11" fillId="0" borderId="126" xfId="0" applyFont="1" applyBorder="1" applyAlignment="1">
      <alignment horizontal="center"/>
    </xf>
    <xf numFmtId="175" fontId="11" fillId="20" borderId="131" xfId="0" applyNumberFormat="1" applyFont="1" applyFill="1" applyBorder="1" applyAlignment="1">
      <alignment horizontal="center"/>
    </xf>
    <xf numFmtId="175" fontId="11" fillId="20" borderId="127" xfId="0" applyNumberFormat="1" applyFont="1" applyFill="1" applyBorder="1" applyAlignment="1">
      <alignment horizontal="center"/>
    </xf>
    <xf numFmtId="0" fontId="99" fillId="0" borderId="0" xfId="1" applyFont="1"/>
    <xf numFmtId="0" fontId="17" fillId="0" borderId="0" xfId="0" applyFont="1" applyAlignment="1"/>
    <xf numFmtId="0" fontId="99" fillId="0" borderId="0" xfId="1" applyFont="1" applyAlignment="1"/>
    <xf numFmtId="0" fontId="11" fillId="0" borderId="28" xfId="0" applyFont="1" applyBorder="1" applyAlignment="1">
      <alignment horizontal="center" vertical="top" wrapText="1"/>
    </xf>
    <xf numFmtId="0" fontId="11" fillId="0" borderId="29" xfId="0" applyFont="1" applyBorder="1" applyAlignment="1">
      <alignment horizontal="center" vertical="top" wrapText="1"/>
    </xf>
    <xf numFmtId="0" fontId="11" fillId="24" borderId="45" xfId="0" applyFont="1" applyFill="1" applyBorder="1" applyAlignment="1"/>
    <xf numFmtId="0" fontId="5" fillId="24" borderId="17" xfId="0" applyFont="1" applyFill="1" applyBorder="1" applyAlignment="1"/>
    <xf numFmtId="164" fontId="5" fillId="24" borderId="17" xfId="0" applyNumberFormat="1" applyFont="1" applyFill="1" applyBorder="1" applyAlignment="1">
      <alignment horizontal="right"/>
    </xf>
    <xf numFmtId="164" fontId="5" fillId="24" borderId="34" xfId="0" applyNumberFormat="1" applyFont="1" applyFill="1" applyBorder="1" applyAlignment="1"/>
    <xf numFmtId="0" fontId="11" fillId="4" borderId="190" xfId="0" applyFont="1" applyFill="1" applyBorder="1" applyAlignment="1">
      <alignment horizontal="center"/>
    </xf>
    <xf numFmtId="0" fontId="11" fillId="4" borderId="191" xfId="0" applyFont="1" applyFill="1" applyBorder="1" applyAlignment="1">
      <alignment horizontal="center"/>
    </xf>
    <xf numFmtId="0" fontId="11" fillId="4" borderId="192" xfId="0" applyFont="1" applyFill="1" applyBorder="1" applyAlignment="1">
      <alignment horizontal="center"/>
    </xf>
    <xf numFmtId="0" fontId="11" fillId="4" borderId="193" xfId="0" applyFont="1" applyFill="1" applyBorder="1" applyAlignment="1">
      <alignment horizontal="center"/>
    </xf>
    <xf numFmtId="0" fontId="11" fillId="4" borderId="165" xfId="0" applyFont="1" applyFill="1" applyBorder="1" applyAlignment="1">
      <alignment horizontal="center"/>
    </xf>
    <xf numFmtId="164" fontId="5" fillId="0" borderId="164" xfId="0" applyNumberFormat="1" applyFont="1" applyBorder="1" applyAlignment="1">
      <alignment horizontal="center"/>
    </xf>
    <xf numFmtId="164" fontId="5" fillId="0" borderId="166" xfId="0" applyNumberFormat="1" applyFont="1" applyBorder="1" applyAlignment="1">
      <alignment horizontal="center"/>
    </xf>
    <xf numFmtId="1" fontId="11" fillId="4" borderId="165" xfId="0" applyNumberFormat="1" applyFont="1" applyFill="1" applyBorder="1" applyAlignment="1">
      <alignment horizontal="center"/>
    </xf>
    <xf numFmtId="1" fontId="11" fillId="4" borderId="167" xfId="0" applyNumberFormat="1" applyFont="1" applyFill="1" applyBorder="1" applyAlignment="1">
      <alignment horizontal="center"/>
    </xf>
    <xf numFmtId="3" fontId="11" fillId="4" borderId="194" xfId="0" applyNumberFormat="1" applyFont="1" applyFill="1" applyBorder="1" applyAlignment="1">
      <alignment horizontal="center"/>
    </xf>
    <xf numFmtId="3" fontId="5" fillId="0" borderId="195" xfId="0" applyNumberFormat="1" applyFont="1" applyBorder="1" applyAlignment="1">
      <alignment horizontal="center"/>
    </xf>
    <xf numFmtId="10" fontId="12" fillId="6" borderId="196" xfId="0" applyNumberFormat="1" applyFont="1" applyFill="1" applyBorder="1" applyAlignment="1">
      <alignment horizontal="center"/>
    </xf>
    <xf numFmtId="164" fontId="5" fillId="0" borderId="168" xfId="0" applyNumberFormat="1" applyFont="1" applyBorder="1" applyAlignment="1">
      <alignment horizontal="center"/>
    </xf>
    <xf numFmtId="1" fontId="11" fillId="3" borderId="167" xfId="0" applyNumberFormat="1" applyFont="1" applyFill="1" applyBorder="1" applyAlignment="1">
      <alignment horizontal="left"/>
    </xf>
    <xf numFmtId="1" fontId="11" fillId="3" borderId="190" xfId="0" applyNumberFormat="1" applyFont="1" applyFill="1" applyBorder="1" applyAlignment="1">
      <alignment horizontal="left"/>
    </xf>
    <xf numFmtId="0" fontId="11" fillId="24" borderId="11" xfId="0" applyFont="1" applyFill="1" applyBorder="1" applyAlignment="1">
      <alignment horizontal="center"/>
    </xf>
    <xf numFmtId="0" fontId="11" fillId="24" borderId="10" xfId="0" applyFont="1" applyFill="1" applyBorder="1" applyAlignment="1">
      <alignment horizontal="center"/>
    </xf>
    <xf numFmtId="0" fontId="11" fillId="24" borderId="15" xfId="0" applyFont="1" applyFill="1" applyBorder="1" applyAlignment="1">
      <alignment horizontal="center"/>
    </xf>
    <xf numFmtId="0" fontId="17" fillId="24" borderId="7" xfId="0" applyFont="1" applyFill="1" applyBorder="1" applyAlignment="1">
      <alignment horizontal="center"/>
    </xf>
    <xf numFmtId="0" fontId="11" fillId="24" borderId="5" xfId="0" applyFont="1" applyFill="1" applyBorder="1" applyAlignment="1">
      <alignment horizontal="center"/>
    </xf>
    <xf numFmtId="0" fontId="11" fillId="24" borderId="137" xfId="0" applyFont="1" applyFill="1" applyBorder="1" applyAlignment="1">
      <alignment horizontal="center"/>
    </xf>
    <xf numFmtId="0" fontId="11" fillId="24" borderId="7" xfId="0" applyFont="1" applyFill="1" applyBorder="1" applyAlignment="1">
      <alignment horizontal="center"/>
    </xf>
    <xf numFmtId="0" fontId="11" fillId="24" borderId="14" xfId="0" applyFont="1" applyFill="1" applyBorder="1" applyAlignment="1">
      <alignment horizontal="center"/>
    </xf>
    <xf numFmtId="0" fontId="17" fillId="24" borderId="76" xfId="0" applyFont="1" applyFill="1" applyBorder="1" applyAlignment="1">
      <alignment horizontal="center"/>
    </xf>
    <xf numFmtId="0" fontId="11" fillId="24" borderId="77" xfId="0" applyFont="1" applyFill="1" applyBorder="1" applyAlignment="1">
      <alignment horizontal="center"/>
    </xf>
    <xf numFmtId="0" fontId="11" fillId="24" borderId="133" xfId="0" applyFont="1" applyFill="1" applyBorder="1" applyAlignment="1">
      <alignment horizontal="center"/>
    </xf>
    <xf numFmtId="0" fontId="17" fillId="24" borderId="136" xfId="0" applyFont="1" applyFill="1" applyBorder="1" applyAlignment="1">
      <alignment horizontal="center"/>
    </xf>
    <xf numFmtId="0" fontId="11" fillId="24" borderId="130" xfId="0" applyFont="1" applyFill="1" applyBorder="1" applyAlignment="1">
      <alignment horizontal="center"/>
    </xf>
    <xf numFmtId="0" fontId="11" fillId="24" borderId="136" xfId="0" applyFont="1" applyFill="1" applyBorder="1" applyAlignment="1">
      <alignment horizontal="center"/>
    </xf>
    <xf numFmtId="0" fontId="11" fillId="24" borderId="135" xfId="0" applyFont="1" applyFill="1" applyBorder="1" applyAlignment="1">
      <alignment horizontal="center"/>
    </xf>
    <xf numFmtId="0" fontId="11" fillId="24" borderId="134" xfId="0" applyFont="1" applyFill="1" applyBorder="1" applyAlignment="1">
      <alignment horizontal="center"/>
    </xf>
    <xf numFmtId="0" fontId="11" fillId="24" borderId="129" xfId="0" applyFont="1" applyFill="1" applyBorder="1" applyAlignment="1">
      <alignment horizontal="center"/>
    </xf>
    <xf numFmtId="0" fontId="11" fillId="24" borderId="132" xfId="0" applyFont="1" applyFill="1" applyBorder="1" applyAlignment="1">
      <alignment horizontal="center"/>
    </xf>
    <xf numFmtId="0" fontId="11" fillId="24" borderId="117" xfId="0" applyFont="1" applyFill="1" applyBorder="1" applyAlignment="1">
      <alignment horizontal="center"/>
    </xf>
    <xf numFmtId="3" fontId="5" fillId="0" borderId="135" xfId="0" applyNumberFormat="1" applyFont="1" applyBorder="1" applyAlignment="1">
      <alignment horizontal="center"/>
    </xf>
    <xf numFmtId="0" fontId="11" fillId="3" borderId="197" xfId="0" applyFont="1" applyFill="1" applyBorder="1" applyAlignment="1">
      <alignment horizontal="center"/>
    </xf>
    <xf numFmtId="0" fontId="11" fillId="3" borderId="198" xfId="0" applyFont="1" applyFill="1" applyBorder="1" applyAlignment="1">
      <alignment horizontal="center"/>
    </xf>
    <xf numFmtId="44" fontId="5" fillId="0" borderId="127" xfId="0" applyNumberFormat="1" applyFont="1" applyBorder="1" applyAlignment="1">
      <alignment horizontal="center"/>
    </xf>
    <xf numFmtId="0" fontId="5" fillId="23" borderId="30" xfId="0" applyFont="1" applyFill="1" applyBorder="1" applyAlignment="1">
      <alignment horizontal="left"/>
    </xf>
    <xf numFmtId="0" fontId="5" fillId="23" borderId="33" xfId="0" applyFont="1" applyFill="1" applyBorder="1" applyAlignment="1">
      <alignment horizontal="left"/>
    </xf>
    <xf numFmtId="0" fontId="5" fillId="23" borderId="35" xfId="0" applyFont="1" applyFill="1" applyBorder="1" applyAlignment="1">
      <alignment horizontal="left"/>
    </xf>
    <xf numFmtId="0" fontId="5" fillId="28" borderId="45" xfId="0" applyFont="1" applyFill="1" applyBorder="1" applyAlignment="1"/>
    <xf numFmtId="0" fontId="5" fillId="28" borderId="48" xfId="0" applyFont="1" applyFill="1" applyBorder="1" applyAlignment="1"/>
    <xf numFmtId="0" fontId="5" fillId="0" borderId="123" xfId="0" applyFont="1" applyBorder="1" applyAlignment="1"/>
    <xf numFmtId="0" fontId="11" fillId="30" borderId="117" xfId="0" applyFont="1" applyFill="1" applyBorder="1" applyAlignment="1"/>
    <xf numFmtId="0" fontId="11" fillId="29" borderId="7" xfId="0" applyFont="1" applyFill="1" applyBorder="1" applyAlignment="1">
      <alignment horizontal="center" vertical="center"/>
    </xf>
    <xf numFmtId="0" fontId="5" fillId="29" borderId="7" xfId="0" applyFont="1" applyFill="1" applyBorder="1" applyAlignment="1">
      <alignment horizontal="center" vertical="center" wrapText="1"/>
    </xf>
    <xf numFmtId="0" fontId="3" fillId="36" borderId="117" xfId="0" applyFont="1" applyFill="1" applyBorder="1" applyAlignment="1">
      <alignment horizontal="center" vertical="center" wrapText="1"/>
    </xf>
    <xf numFmtId="0" fontId="5" fillId="0" borderId="153" xfId="0" applyFont="1" applyBorder="1" applyAlignment="1"/>
    <xf numFmtId="0" fontId="15" fillId="0" borderId="200" xfId="0" applyFont="1" applyBorder="1" applyAlignment="1">
      <alignment wrapText="1"/>
    </xf>
    <xf numFmtId="0" fontId="5" fillId="0" borderId="202" xfId="0" applyFont="1" applyBorder="1"/>
    <xf numFmtId="0" fontId="5" fillId="0" borderId="202" xfId="0" applyFont="1" applyBorder="1" applyAlignment="1"/>
    <xf numFmtId="0" fontId="5" fillId="0" borderId="205" xfId="0" applyFont="1" applyBorder="1" applyAlignment="1"/>
    <xf numFmtId="44" fontId="5" fillId="0" borderId="206" xfId="0" applyNumberFormat="1" applyFont="1" applyBorder="1" applyAlignment="1">
      <alignment horizontal="center"/>
    </xf>
    <xf numFmtId="174" fontId="5" fillId="0" borderId="206" xfId="0" applyNumberFormat="1" applyFont="1" applyBorder="1" applyAlignment="1">
      <alignment horizontal="center"/>
    </xf>
    <xf numFmtId="0" fontId="8" fillId="30" borderId="209" xfId="0" applyFont="1" applyFill="1" applyBorder="1" applyAlignment="1"/>
    <xf numFmtId="0" fontId="8" fillId="30" borderId="210" xfId="0" applyFont="1" applyFill="1" applyBorder="1" applyAlignment="1"/>
    <xf numFmtId="0" fontId="11" fillId="30" borderId="42" xfId="0" applyFont="1" applyFill="1" applyBorder="1" applyAlignment="1">
      <alignment horizontal="center"/>
    </xf>
    <xf numFmtId="0" fontId="5" fillId="23" borderId="201" xfId="0" applyFont="1" applyFill="1" applyBorder="1" applyAlignment="1">
      <alignment horizontal="center"/>
    </xf>
    <xf numFmtId="0" fontId="5" fillId="23" borderId="211" xfId="0" applyFont="1" applyFill="1" applyBorder="1" applyAlignment="1">
      <alignment horizontal="center" wrapText="1"/>
    </xf>
    <xf numFmtId="0" fontId="5" fillId="23" borderId="211" xfId="0" applyFont="1" applyFill="1" applyBorder="1" applyAlignment="1">
      <alignment horizontal="center"/>
    </xf>
    <xf numFmtId="0" fontId="5" fillId="23" borderId="212" xfId="0" applyFont="1" applyFill="1" applyBorder="1" applyAlignment="1">
      <alignment horizontal="center" wrapText="1"/>
    </xf>
    <xf numFmtId="0" fontId="11" fillId="23" borderId="213" xfId="0" applyFont="1" applyFill="1" applyBorder="1" applyAlignment="1">
      <alignment horizontal="center"/>
    </xf>
    <xf numFmtId="0" fontId="5" fillId="23" borderId="185" xfId="0" applyFont="1" applyFill="1" applyBorder="1" applyAlignment="1">
      <alignment horizontal="center" wrapText="1"/>
    </xf>
    <xf numFmtId="0" fontId="11" fillId="36" borderId="122" xfId="0" applyFont="1" applyFill="1" applyBorder="1" applyAlignment="1">
      <alignment horizontal="center"/>
    </xf>
    <xf numFmtId="0" fontId="11" fillId="36" borderId="217" xfId="0" applyFont="1" applyFill="1" applyBorder="1" applyAlignment="1">
      <alignment horizontal="center"/>
    </xf>
    <xf numFmtId="0" fontId="11" fillId="36" borderId="218" xfId="0" applyFont="1" applyFill="1" applyBorder="1" applyAlignment="1">
      <alignment horizontal="center"/>
    </xf>
    <xf numFmtId="0" fontId="11" fillId="36" borderId="219" xfId="0" applyFont="1" applyFill="1" applyBorder="1" applyAlignment="1">
      <alignment horizontal="center"/>
    </xf>
    <xf numFmtId="0" fontId="5" fillId="23" borderId="214" xfId="0" applyFont="1" applyFill="1" applyBorder="1" applyAlignment="1">
      <alignment horizontal="center"/>
    </xf>
    <xf numFmtId="0" fontId="11" fillId="36" borderId="220" xfId="0" applyFont="1" applyFill="1" applyBorder="1" applyAlignment="1">
      <alignment horizontal="center"/>
    </xf>
    <xf numFmtId="0" fontId="11" fillId="36" borderId="132" xfId="0" applyFont="1" applyFill="1" applyBorder="1" applyAlignment="1">
      <alignment horizontal="center"/>
    </xf>
    <xf numFmtId="0" fontId="11" fillId="36" borderId="123" xfId="0" applyFont="1" applyFill="1" applyBorder="1" applyAlignment="1">
      <alignment horizontal="center"/>
    </xf>
    <xf numFmtId="0" fontId="5" fillId="23" borderId="221" xfId="0" applyFont="1" applyFill="1" applyBorder="1" applyAlignment="1">
      <alignment horizontal="center"/>
    </xf>
    <xf numFmtId="0" fontId="11" fillId="23" borderId="220" xfId="0" applyFont="1" applyFill="1" applyBorder="1" applyAlignment="1">
      <alignment horizontal="center"/>
    </xf>
    <xf numFmtId="0" fontId="11" fillId="39" borderId="177" xfId="0" applyFont="1" applyFill="1" applyBorder="1" applyAlignment="1">
      <alignment horizontal="center"/>
    </xf>
    <xf numFmtId="0" fontId="11" fillId="39" borderId="178" xfId="0" applyFont="1" applyFill="1" applyBorder="1" applyAlignment="1">
      <alignment horizontal="center"/>
    </xf>
    <xf numFmtId="0" fontId="11" fillId="39" borderId="179" xfId="0" applyFont="1" applyFill="1" applyBorder="1" applyAlignment="1">
      <alignment horizontal="center"/>
    </xf>
    <xf numFmtId="0" fontId="11" fillId="39" borderId="180" xfId="0" applyFont="1" applyFill="1" applyBorder="1" applyAlignment="1">
      <alignment horizontal="center"/>
    </xf>
    <xf numFmtId="0" fontId="11" fillId="39" borderId="181" xfId="0" applyFont="1" applyFill="1" applyBorder="1" applyAlignment="1">
      <alignment horizontal="center"/>
    </xf>
    <xf numFmtId="0" fontId="5" fillId="39" borderId="53" xfId="0" applyFont="1" applyFill="1" applyBorder="1" applyAlignment="1">
      <alignment horizontal="center"/>
    </xf>
    <xf numFmtId="0" fontId="5" fillId="28" borderId="53" xfId="0" applyFont="1" applyFill="1" applyBorder="1" applyAlignment="1">
      <alignment horizontal="center"/>
    </xf>
    <xf numFmtId="0" fontId="5" fillId="28" borderId="89" xfId="0" applyFont="1" applyFill="1" applyBorder="1" applyAlignment="1">
      <alignment horizontal="center"/>
    </xf>
    <xf numFmtId="0" fontId="5" fillId="28" borderId="91" xfId="0" applyFont="1" applyFill="1" applyBorder="1" applyAlignment="1">
      <alignment horizontal="center"/>
    </xf>
    <xf numFmtId="0" fontId="11" fillId="40" borderId="53" xfId="0" applyFont="1" applyFill="1" applyBorder="1" applyAlignment="1">
      <alignment horizontal="center"/>
    </xf>
    <xf numFmtId="0" fontId="5" fillId="28" borderId="84" xfId="0" applyFont="1" applyFill="1" applyBorder="1" applyAlignment="1">
      <alignment horizontal="center"/>
    </xf>
    <xf numFmtId="0" fontId="5" fillId="28" borderId="85" xfId="0" applyFont="1" applyFill="1" applyBorder="1" applyAlignment="1">
      <alignment horizontal="center"/>
    </xf>
    <xf numFmtId="3" fontId="11" fillId="0" borderId="55" xfId="0" applyNumberFormat="1" applyFont="1" applyBorder="1"/>
    <xf numFmtId="167" fontId="5" fillId="0" borderId="55" xfId="0" applyNumberFormat="1" applyFont="1" applyBorder="1"/>
    <xf numFmtId="9" fontId="5" fillId="0" borderId="153" xfId="0" applyNumberFormat="1" applyFont="1" applyBorder="1"/>
    <xf numFmtId="3" fontId="12" fillId="6" borderId="153" xfId="0" applyNumberFormat="1" applyFont="1" applyFill="1" applyBorder="1"/>
    <xf numFmtId="3" fontId="5" fillId="0" borderId="153" xfId="0" applyNumberFormat="1" applyFont="1" applyBorder="1" applyAlignment="1"/>
    <xf numFmtId="3" fontId="5" fillId="0" borderId="153" xfId="0" applyNumberFormat="1" applyFont="1" applyBorder="1"/>
    <xf numFmtId="44" fontId="5" fillId="0" borderId="153" xfId="0" applyNumberFormat="1" applyFont="1" applyBorder="1"/>
    <xf numFmtId="0" fontId="5" fillId="0" borderId="153" xfId="0" applyFont="1" applyBorder="1" applyAlignment="1">
      <alignment wrapText="1"/>
    </xf>
    <xf numFmtId="44" fontId="5" fillId="0" borderId="202" xfId="0" applyNumberFormat="1" applyFont="1" applyBorder="1"/>
    <xf numFmtId="0" fontId="5" fillId="0" borderId="204" xfId="0" applyFont="1" applyBorder="1" applyAlignment="1"/>
    <xf numFmtId="0" fontId="5" fillId="0" borderId="204" xfId="0" applyFont="1" applyBorder="1" applyAlignment="1">
      <alignment wrapText="1"/>
    </xf>
    <xf numFmtId="9" fontId="5" fillId="0" borderId="204" xfId="0" applyNumberFormat="1" applyFont="1" applyBorder="1"/>
    <xf numFmtId="3" fontId="12" fillId="6" borderId="204" xfId="0" applyNumberFormat="1" applyFont="1" applyFill="1" applyBorder="1"/>
    <xf numFmtId="3" fontId="5" fillId="0" borderId="204" xfId="0" applyNumberFormat="1" applyFont="1" applyBorder="1" applyAlignment="1"/>
    <xf numFmtId="3" fontId="5" fillId="0" borderId="204" xfId="0" applyNumberFormat="1" applyFont="1" applyBorder="1"/>
    <xf numFmtId="44" fontId="5" fillId="0" borderId="204" xfId="0" applyNumberFormat="1" applyFont="1" applyBorder="1"/>
    <xf numFmtId="44" fontId="5" fillId="0" borderId="205" xfId="0" applyNumberFormat="1" applyFont="1" applyBorder="1"/>
    <xf numFmtId="0" fontId="11" fillId="9" borderId="14" xfId="0" applyFont="1" applyFill="1" applyBorder="1"/>
    <xf numFmtId="44" fontId="11" fillId="9" borderId="224" xfId="0" applyNumberFormat="1" applyFont="1" applyFill="1" applyBorder="1"/>
    <xf numFmtId="1" fontId="5" fillId="0" borderId="153" xfId="0" applyNumberFormat="1" applyFont="1" applyBorder="1"/>
    <xf numFmtId="1" fontId="5" fillId="0" borderId="204" xfId="0" applyNumberFormat="1" applyFont="1" applyBorder="1"/>
    <xf numFmtId="0" fontId="11" fillId="9" borderId="105" xfId="0" applyFont="1" applyFill="1" applyBorder="1"/>
    <xf numFmtId="44" fontId="11" fillId="9" borderId="105" xfId="0" applyNumberFormat="1" applyFont="1" applyFill="1" applyBorder="1"/>
    <xf numFmtId="9" fontId="5" fillId="0" borderId="153" xfId="0" applyNumberFormat="1" applyFont="1" applyBorder="1" applyAlignment="1"/>
    <xf numFmtId="44" fontId="5" fillId="0" borderId="153" xfId="0" applyNumberFormat="1" applyFont="1" applyBorder="1" applyAlignment="1"/>
    <xf numFmtId="44" fontId="5" fillId="0" borderId="202" xfId="0" applyNumberFormat="1" applyFont="1" applyBorder="1" applyAlignment="1"/>
    <xf numFmtId="9" fontId="5" fillId="0" borderId="204" xfId="0" applyNumberFormat="1" applyFont="1" applyBorder="1" applyAlignment="1"/>
    <xf numFmtId="44" fontId="5" fillId="0" borderId="204" xfId="0" applyNumberFormat="1" applyFont="1" applyBorder="1" applyAlignment="1"/>
    <xf numFmtId="44" fontId="5" fillId="0" borderId="205" xfId="0" applyNumberFormat="1" applyFont="1" applyBorder="1" applyAlignment="1"/>
    <xf numFmtId="0" fontId="100" fillId="0" borderId="106" xfId="0" applyFont="1" applyBorder="1" applyAlignment="1"/>
    <xf numFmtId="0" fontId="100" fillId="0" borderId="92" xfId="0" applyFont="1" applyBorder="1" applyAlignment="1"/>
    <xf numFmtId="0" fontId="100" fillId="0" borderId="112" xfId="0" applyFont="1" applyBorder="1" applyAlignment="1"/>
    <xf numFmtId="0" fontId="100" fillId="0" borderId="1" xfId="0" applyFont="1" applyBorder="1" applyAlignment="1"/>
    <xf numFmtId="0" fontId="11" fillId="23" borderId="201" xfId="0" applyFont="1" applyFill="1" applyBorder="1" applyAlignment="1"/>
    <xf numFmtId="0" fontId="11" fillId="23" borderId="203" xfId="0" applyFont="1" applyFill="1" applyBorder="1" applyAlignment="1"/>
    <xf numFmtId="0" fontId="11" fillId="41" borderId="176" xfId="0" applyFont="1" applyFill="1" applyBorder="1" applyAlignment="1"/>
    <xf numFmtId="0" fontId="11" fillId="41" borderId="199" xfId="0" applyFont="1" applyFill="1" applyBorder="1" applyAlignment="1">
      <alignment horizontal="center" wrapText="1"/>
    </xf>
    <xf numFmtId="0" fontId="11" fillId="41" borderId="200" xfId="0" applyFont="1" applyFill="1" applyBorder="1" applyAlignment="1">
      <alignment horizontal="center" wrapText="1"/>
    </xf>
    <xf numFmtId="0" fontId="11" fillId="37" borderId="98" xfId="0" applyFont="1" applyFill="1" applyBorder="1" applyAlignment="1">
      <alignment horizontal="center"/>
    </xf>
    <xf numFmtId="0" fontId="5" fillId="37" borderId="0" xfId="0" applyFont="1" applyFill="1" applyAlignment="1"/>
    <xf numFmtId="0" fontId="5" fillId="37" borderId="87" xfId="0" applyFont="1" applyFill="1" applyBorder="1" applyAlignment="1"/>
    <xf numFmtId="44" fontId="5" fillId="37" borderId="0" xfId="0" applyNumberFormat="1" applyFont="1" applyFill="1"/>
    <xf numFmtId="44" fontId="11" fillId="37" borderId="9" xfId="0" applyNumberFormat="1" applyFont="1" applyFill="1" applyBorder="1"/>
    <xf numFmtId="0" fontId="5" fillId="37" borderId="0" xfId="0" applyFont="1" applyFill="1"/>
    <xf numFmtId="44" fontId="5" fillId="37" borderId="87" xfId="0" applyNumberFormat="1" applyFont="1" applyFill="1" applyBorder="1"/>
    <xf numFmtId="44" fontId="5" fillId="37" borderId="9" xfId="0" applyNumberFormat="1" applyFont="1" applyFill="1" applyBorder="1"/>
    <xf numFmtId="0" fontId="11" fillId="30" borderId="92" xfId="0" applyFont="1" applyFill="1" applyBorder="1" applyAlignment="1">
      <alignment horizontal="center"/>
    </xf>
    <xf numFmtId="0" fontId="11" fillId="30" borderId="93" xfId="0" applyFont="1" applyFill="1" applyBorder="1" applyAlignment="1">
      <alignment horizontal="center" wrapText="1"/>
    </xf>
    <xf numFmtId="0" fontId="11" fillId="30" borderId="93" xfId="0" applyFont="1" applyFill="1" applyBorder="1" applyAlignment="1">
      <alignment horizontal="center"/>
    </xf>
    <xf numFmtId="0" fontId="11" fillId="30" borderId="115" xfId="0" applyFont="1" applyFill="1" applyBorder="1" applyAlignment="1">
      <alignment horizontal="center"/>
    </xf>
    <xf numFmtId="0" fontId="11" fillId="30" borderId="94" xfId="0" applyFont="1" applyFill="1" applyBorder="1" applyAlignment="1">
      <alignment horizontal="center" wrapText="1"/>
    </xf>
    <xf numFmtId="0" fontId="11" fillId="37" borderId="95" xfId="0" applyFont="1" applyFill="1" applyBorder="1" applyAlignment="1">
      <alignment horizontal="center"/>
    </xf>
    <xf numFmtId="0" fontId="5" fillId="37" borderId="96" xfId="0" applyFont="1" applyFill="1" applyBorder="1" applyAlignment="1"/>
    <xf numFmtId="0" fontId="5" fillId="37" borderId="90" xfId="0" applyFont="1" applyFill="1" applyBorder="1" applyAlignment="1"/>
    <xf numFmtId="44" fontId="5" fillId="37" borderId="96" xfId="0" applyNumberFormat="1" applyFont="1" applyFill="1" applyBorder="1"/>
    <xf numFmtId="0" fontId="5" fillId="37" borderId="90" xfId="0" applyFont="1" applyFill="1" applyBorder="1"/>
    <xf numFmtId="44" fontId="11" fillId="37" borderId="97" xfId="0" applyNumberFormat="1" applyFont="1" applyFill="1" applyBorder="1"/>
    <xf numFmtId="164" fontId="82" fillId="37" borderId="87" xfId="0" applyNumberFormat="1" applyFont="1" applyFill="1" applyBorder="1" applyAlignment="1">
      <alignment horizontal="right"/>
    </xf>
    <xf numFmtId="0" fontId="5" fillId="37" borderId="9" xfId="0" applyFont="1" applyFill="1" applyBorder="1"/>
    <xf numFmtId="0" fontId="82" fillId="37" borderId="87" xfId="0" applyFont="1" applyFill="1" applyBorder="1" applyAlignment="1">
      <alignment horizontal="right"/>
    </xf>
    <xf numFmtId="0" fontId="5" fillId="37" borderId="87" xfId="0" applyFont="1" applyFill="1" applyBorder="1"/>
    <xf numFmtId="0" fontId="11" fillId="37" borderId="92" xfId="0" applyFont="1" applyFill="1" applyBorder="1" applyAlignment="1">
      <alignment horizontal="center"/>
    </xf>
    <xf numFmtId="0" fontId="11" fillId="39" borderId="99" xfId="0" applyFont="1" applyFill="1" applyBorder="1" applyAlignment="1">
      <alignment horizontal="center"/>
    </xf>
    <xf numFmtId="0" fontId="5" fillId="29" borderId="91" xfId="0" applyFont="1" applyFill="1" applyBorder="1" applyAlignment="1">
      <alignment horizontal="center"/>
    </xf>
    <xf numFmtId="0" fontId="5" fillId="29" borderId="100" xfId="0" applyFont="1" applyFill="1" applyBorder="1" applyAlignment="1">
      <alignment horizontal="center"/>
    </xf>
    <xf numFmtId="0" fontId="11" fillId="39" borderId="108" xfId="0" applyFont="1" applyFill="1" applyBorder="1" applyAlignment="1">
      <alignment horizontal="center"/>
    </xf>
    <xf numFmtId="0" fontId="11" fillId="39" borderId="42" xfId="0" applyFont="1" applyFill="1" applyBorder="1" applyAlignment="1">
      <alignment horizontal="center"/>
    </xf>
    <xf numFmtId="0" fontId="11" fillId="41" borderId="7" xfId="0" applyFont="1" applyFill="1" applyBorder="1" applyAlignment="1"/>
    <xf numFmtId="44" fontId="5" fillId="37" borderId="5" xfId="0" applyNumberFormat="1" applyFont="1" applyFill="1" applyBorder="1" applyAlignment="1"/>
    <xf numFmtId="0" fontId="5" fillId="37" borderId="5" xfId="0" applyFont="1" applyFill="1" applyBorder="1" applyAlignment="1"/>
    <xf numFmtId="0" fontId="5" fillId="37" borderId="4" xfId="0" applyFont="1" applyFill="1" applyBorder="1" applyAlignment="1"/>
    <xf numFmtId="0" fontId="5" fillId="37" borderId="3" xfId="0" applyFont="1" applyFill="1" applyBorder="1" applyAlignment="1"/>
    <xf numFmtId="0" fontId="11" fillId="30" borderId="7" xfId="0" applyFont="1" applyFill="1" applyBorder="1" applyAlignment="1"/>
    <xf numFmtId="0" fontId="11" fillId="39" borderId="92" xfId="0" applyFont="1" applyFill="1" applyBorder="1" applyAlignment="1">
      <alignment horizontal="center"/>
    </xf>
    <xf numFmtId="0" fontId="11" fillId="37" borderId="93" xfId="0" applyFont="1" applyFill="1" applyBorder="1" applyAlignment="1">
      <alignment horizontal="center"/>
    </xf>
    <xf numFmtId="0" fontId="11" fillId="37" borderId="94" xfId="0" applyFont="1" applyFill="1" applyBorder="1" applyAlignment="1">
      <alignment horizontal="center"/>
    </xf>
    <xf numFmtId="0" fontId="11" fillId="28" borderId="101" xfId="0" applyFont="1" applyFill="1" applyBorder="1" applyAlignment="1">
      <alignment horizontal="center"/>
    </xf>
    <xf numFmtId="0" fontId="103" fillId="0" borderId="0" xfId="5" applyFont="1"/>
    <xf numFmtId="0" fontId="96" fillId="0" borderId="134" xfId="5" applyFont="1" applyBorder="1" applyAlignment="1">
      <alignment horizontal="center" vertical="center" wrapText="1"/>
    </xf>
    <xf numFmtId="0" fontId="96" fillId="0" borderId="135" xfId="5" applyFont="1" applyBorder="1" applyAlignment="1">
      <alignment horizontal="center" vertical="center" wrapText="1"/>
    </xf>
    <xf numFmtId="8" fontId="104" fillId="0" borderId="123" xfId="5" applyNumberFormat="1" applyFont="1" applyBorder="1" applyAlignment="1">
      <alignment horizontal="center" vertical="center" wrapText="1"/>
    </xf>
    <xf numFmtId="0" fontId="104" fillId="0" borderId="128" xfId="5" applyFont="1" applyBorder="1" applyAlignment="1">
      <alignment horizontal="left" vertical="center" indent="1"/>
    </xf>
    <xf numFmtId="0" fontId="103" fillId="0" borderId="121" xfId="5" applyFont="1" applyBorder="1"/>
    <xf numFmtId="0" fontId="104" fillId="0" borderId="126" xfId="5" applyFont="1" applyBorder="1" applyAlignment="1">
      <alignment horizontal="left" vertical="center" indent="1"/>
    </xf>
    <xf numFmtId="0" fontId="103" fillId="0" borderId="127" xfId="5" applyFont="1" applyBorder="1"/>
    <xf numFmtId="0" fontId="38" fillId="3" borderId="190" xfId="0" applyFont="1" applyFill="1" applyBorder="1" applyAlignment="1">
      <alignment horizontal="center" wrapText="1"/>
    </xf>
    <xf numFmtId="0" fontId="11" fillId="3" borderId="171" xfId="0" applyFont="1" applyFill="1" applyBorder="1" applyAlignment="1"/>
    <xf numFmtId="0" fontId="39" fillId="3" borderId="171" xfId="0" applyFont="1" applyFill="1" applyBorder="1" applyAlignment="1">
      <alignment horizontal="center" wrapText="1"/>
    </xf>
    <xf numFmtId="0" fontId="11" fillId="3" borderId="162" xfId="0" applyFont="1" applyFill="1" applyBorder="1" applyAlignment="1">
      <alignment horizontal="center" wrapText="1"/>
    </xf>
    <xf numFmtId="0" fontId="40" fillId="6" borderId="0" xfId="0" applyFont="1" applyFill="1" applyBorder="1"/>
    <xf numFmtId="0" fontId="5" fillId="0" borderId="121" xfId="0" applyFont="1" applyBorder="1"/>
    <xf numFmtId="0" fontId="34" fillId="0" borderId="128" xfId="0" applyFont="1" applyBorder="1" applyAlignment="1">
      <alignment horizontal="center"/>
    </xf>
    <xf numFmtId="0" fontId="17" fillId="0" borderId="128" xfId="0" applyFont="1" applyBorder="1" applyAlignment="1">
      <alignment wrapText="1"/>
    </xf>
    <xf numFmtId="0" fontId="11" fillId="0" borderId="128" xfId="0" applyFont="1" applyBorder="1" applyAlignment="1"/>
    <xf numFmtId="10" fontId="11" fillId="0" borderId="121" xfId="0" applyNumberFormat="1" applyFont="1" applyBorder="1" applyAlignment="1"/>
    <xf numFmtId="0" fontId="5" fillId="0" borderId="128" xfId="0" applyFont="1" applyBorder="1" applyAlignment="1">
      <alignment wrapText="1"/>
    </xf>
    <xf numFmtId="0" fontId="5" fillId="15" borderId="0" xfId="0" applyFont="1" applyFill="1" applyBorder="1"/>
    <xf numFmtId="165" fontId="5" fillId="0" borderId="0" xfId="0" applyNumberFormat="1" applyFont="1" applyBorder="1" applyAlignment="1"/>
    <xf numFmtId="10" fontId="40" fillId="6" borderId="0" xfId="0" applyNumberFormat="1" applyFont="1" applyFill="1" applyBorder="1"/>
    <xf numFmtId="0" fontId="11" fillId="0" borderId="128" xfId="0" applyFont="1" applyBorder="1" applyAlignment="1">
      <alignment wrapText="1"/>
    </xf>
    <xf numFmtId="0" fontId="5" fillId="17" borderId="0" xfId="0" applyFont="1" applyFill="1" applyBorder="1"/>
    <xf numFmtId="164" fontId="5" fillId="17" borderId="0" xfId="0" applyNumberFormat="1" applyFont="1" applyFill="1" applyBorder="1"/>
    <xf numFmtId="10" fontId="11" fillId="0" borderId="121" xfId="0" applyNumberFormat="1" applyFont="1" applyBorder="1"/>
    <xf numFmtId="0" fontId="17" fillId="0" borderId="185" xfId="0" applyFont="1" applyFill="1" applyBorder="1" applyAlignment="1"/>
    <xf numFmtId="0" fontId="0" fillId="0" borderId="186" xfId="0" applyFont="1" applyFill="1" applyBorder="1" applyAlignment="1"/>
    <xf numFmtId="165" fontId="34" fillId="0" borderId="0" xfId="0" applyNumberFormat="1" applyFont="1" applyBorder="1"/>
    <xf numFmtId="0" fontId="34" fillId="0" borderId="0" xfId="0" applyFont="1" applyBorder="1"/>
    <xf numFmtId="10" fontId="39" fillId="6" borderId="0" xfId="0" applyNumberFormat="1" applyFont="1" applyFill="1" applyBorder="1"/>
    <xf numFmtId="10" fontId="34" fillId="0" borderId="121" xfId="0" applyNumberFormat="1" applyFont="1" applyBorder="1"/>
    <xf numFmtId="0" fontId="5" fillId="0" borderId="128" xfId="0" applyFont="1" applyBorder="1"/>
    <xf numFmtId="0" fontId="5" fillId="0" borderId="128" xfId="0" applyFont="1" applyBorder="1" applyAlignment="1"/>
    <xf numFmtId="0" fontId="5" fillId="18" borderId="0" xfId="0" applyFont="1" applyFill="1" applyBorder="1"/>
    <xf numFmtId="164" fontId="5" fillId="0" borderId="0" xfId="0" applyNumberFormat="1" applyFont="1" applyBorder="1" applyAlignment="1"/>
    <xf numFmtId="0" fontId="12" fillId="0" borderId="128" xfId="0" applyFont="1" applyBorder="1" applyAlignment="1">
      <alignment wrapText="1"/>
    </xf>
    <xf numFmtId="0" fontId="41" fillId="18" borderId="0" xfId="0" applyFont="1" applyFill="1" applyBorder="1"/>
    <xf numFmtId="0" fontId="12" fillId="0" borderId="0" xfId="0" applyFont="1" applyBorder="1"/>
    <xf numFmtId="0" fontId="5" fillId="0" borderId="182" xfId="0" applyFont="1" applyBorder="1" applyAlignment="1"/>
    <xf numFmtId="0" fontId="5" fillId="0" borderId="173" xfId="0" applyFont="1" applyBorder="1"/>
    <xf numFmtId="0" fontId="34" fillId="0" borderId="182" xfId="0" applyFont="1" applyBorder="1" applyAlignment="1">
      <alignment horizontal="center" wrapText="1"/>
    </xf>
    <xf numFmtId="0" fontId="34" fillId="0" borderId="226" xfId="0" applyFont="1" applyBorder="1" applyAlignment="1">
      <alignment horizontal="center" wrapText="1"/>
    </xf>
    <xf numFmtId="0" fontId="5" fillId="0" borderId="227" xfId="0" applyFont="1" applyBorder="1"/>
    <xf numFmtId="10" fontId="34" fillId="0" borderId="227" xfId="0" applyNumberFormat="1" applyFont="1" applyBorder="1"/>
    <xf numFmtId="0" fontId="40" fillId="6" borderId="227" xfId="0" applyFont="1" applyFill="1" applyBorder="1"/>
    <xf numFmtId="0" fontId="5" fillId="0" borderId="228" xfId="0" applyFont="1" applyBorder="1"/>
    <xf numFmtId="0" fontId="5" fillId="3" borderId="0" xfId="0" applyFont="1" applyFill="1" applyBorder="1"/>
    <xf numFmtId="0" fontId="0" fillId="0" borderId="186" xfId="0" applyFont="1" applyBorder="1" applyAlignment="1"/>
    <xf numFmtId="0" fontId="43" fillId="0" borderId="0" xfId="0" applyFont="1" applyBorder="1"/>
    <xf numFmtId="0" fontId="11" fillId="3" borderId="162" xfId="0" applyFont="1" applyFill="1" applyBorder="1" applyAlignment="1">
      <alignment wrapText="1"/>
    </xf>
    <xf numFmtId="0" fontId="5" fillId="19" borderId="0" xfId="0" applyFont="1" applyFill="1" applyBorder="1"/>
    <xf numFmtId="10" fontId="5" fillId="0" borderId="121" xfId="0" applyNumberFormat="1" applyFont="1" applyBorder="1" applyAlignment="1"/>
    <xf numFmtId="10" fontId="11" fillId="0" borderId="121" xfId="0" applyNumberFormat="1" applyFont="1" applyFill="1" applyBorder="1" applyAlignment="1"/>
    <xf numFmtId="165" fontId="34" fillId="0" borderId="0" xfId="0" applyNumberFormat="1" applyFont="1" applyBorder="1" applyAlignment="1"/>
    <xf numFmtId="0" fontId="39" fillId="6" borderId="0" xfId="0" applyFont="1" applyFill="1" applyBorder="1"/>
    <xf numFmtId="165" fontId="11" fillId="0" borderId="0" xfId="0" applyNumberFormat="1" applyFont="1" applyBorder="1"/>
    <xf numFmtId="9" fontId="11" fillId="0" borderId="121" xfId="0" applyNumberFormat="1" applyFont="1" applyBorder="1" applyAlignment="1"/>
    <xf numFmtId="9" fontId="5" fillId="43" borderId="17" xfId="0" applyNumberFormat="1" applyFont="1" applyFill="1" applyBorder="1" applyAlignment="1">
      <alignment horizontal="right"/>
    </xf>
    <xf numFmtId="10" fontId="5" fillId="38" borderId="164" xfId="0" applyNumberFormat="1" applyFont="1" applyFill="1" applyBorder="1" applyAlignment="1">
      <alignment horizontal="right"/>
    </xf>
    <xf numFmtId="4" fontId="5" fillId="38" borderId="166" xfId="0" applyNumberFormat="1" applyFont="1" applyFill="1" applyBorder="1" applyAlignment="1">
      <alignment horizontal="right"/>
    </xf>
    <xf numFmtId="9" fontId="5" fillId="38" borderId="166" xfId="0" applyNumberFormat="1" applyFont="1" applyFill="1" applyBorder="1" applyAlignment="1">
      <alignment horizontal="right"/>
    </xf>
    <xf numFmtId="10" fontId="5" fillId="38" borderId="168" xfId="0" applyNumberFormat="1" applyFont="1" applyFill="1" applyBorder="1" applyAlignment="1">
      <alignment horizontal="right"/>
    </xf>
    <xf numFmtId="3" fontId="5" fillId="42" borderId="42" xfId="0" applyNumberFormat="1" applyFont="1" applyFill="1" applyBorder="1" applyAlignment="1">
      <alignment horizontal="center"/>
    </xf>
    <xf numFmtId="0" fontId="97" fillId="38" borderId="17" xfId="0" applyFont="1" applyFill="1" applyBorder="1" applyAlignment="1">
      <alignment horizontal="center"/>
    </xf>
    <xf numFmtId="9" fontId="97" fillId="38" borderId="17" xfId="0" applyNumberFormat="1" applyFont="1" applyFill="1" applyBorder="1" applyAlignment="1">
      <alignment horizontal="center"/>
    </xf>
    <xf numFmtId="0" fontId="97" fillId="32" borderId="229" xfId="0" applyFont="1" applyFill="1" applyBorder="1" applyAlignment="1">
      <alignment horizontal="center"/>
    </xf>
    <xf numFmtId="0" fontId="97" fillId="0" borderId="232" xfId="0" applyFont="1" applyBorder="1" applyAlignment="1">
      <alignment horizontal="left"/>
    </xf>
    <xf numFmtId="0" fontId="97" fillId="0" borderId="182" xfId="0" applyFont="1" applyBorder="1" applyAlignment="1">
      <alignment horizontal="left"/>
    </xf>
    <xf numFmtId="0" fontId="97" fillId="0" borderId="226" xfId="0" applyFont="1" applyBorder="1" applyAlignment="1">
      <alignment horizontal="left"/>
    </xf>
    <xf numFmtId="0" fontId="97" fillId="38" borderId="196" xfId="0" applyFont="1" applyFill="1" applyBorder="1" applyAlignment="1">
      <alignment horizontal="center"/>
    </xf>
    <xf numFmtId="9" fontId="97" fillId="38" borderId="196" xfId="0" applyNumberFormat="1" applyFont="1" applyFill="1" applyBorder="1" applyAlignment="1">
      <alignment horizontal="center"/>
    </xf>
    <xf numFmtId="0" fontId="97" fillId="0" borderId="196" xfId="0" applyFont="1" applyBorder="1" applyAlignment="1">
      <alignment horizontal="center"/>
    </xf>
    <xf numFmtId="0" fontId="97" fillId="0" borderId="17" xfId="0" applyFont="1" applyFill="1" applyBorder="1" applyAlignment="1">
      <alignment horizontal="center"/>
    </xf>
    <xf numFmtId="9" fontId="97" fillId="0" borderId="166" xfId="0" applyNumberFormat="1" applyFont="1" applyFill="1" applyBorder="1" applyAlignment="1">
      <alignment horizontal="center"/>
    </xf>
    <xf numFmtId="0" fontId="97" fillId="0" borderId="196" xfId="0" applyFont="1" applyFill="1" applyBorder="1" applyAlignment="1">
      <alignment horizontal="center"/>
    </xf>
    <xf numFmtId="9" fontId="97" fillId="0" borderId="168" xfId="0" applyNumberFormat="1" applyFont="1" applyFill="1" applyBorder="1" applyAlignment="1">
      <alignment horizontal="center"/>
    </xf>
    <xf numFmtId="0" fontId="97" fillId="38" borderId="155" xfId="0" applyFont="1" applyFill="1" applyBorder="1" applyAlignment="1">
      <alignment horizontal="center"/>
    </xf>
    <xf numFmtId="9" fontId="97" fillId="38" borderId="155" xfId="0" applyNumberFormat="1" applyFont="1" applyFill="1" applyBorder="1" applyAlignment="1">
      <alignment horizontal="center"/>
    </xf>
    <xf numFmtId="0" fontId="97" fillId="38" borderId="157" xfId="0" applyFont="1" applyFill="1" applyBorder="1" applyAlignment="1">
      <alignment horizontal="center"/>
    </xf>
    <xf numFmtId="9" fontId="97" fillId="38" borderId="157" xfId="0" applyNumberFormat="1" applyFont="1" applyFill="1" applyBorder="1" applyAlignment="1">
      <alignment horizontal="center"/>
    </xf>
    <xf numFmtId="9" fontId="97" fillId="0" borderId="234" xfId="0" applyNumberFormat="1" applyFont="1" applyBorder="1" applyAlignment="1">
      <alignment horizontal="center"/>
    </xf>
    <xf numFmtId="0" fontId="97" fillId="0" borderId="235" xfId="0" applyFont="1" applyBorder="1" applyAlignment="1">
      <alignment horizontal="left"/>
    </xf>
    <xf numFmtId="9" fontId="97" fillId="0" borderId="236" xfId="0" applyNumberFormat="1" applyFont="1" applyBorder="1" applyAlignment="1">
      <alignment horizontal="center"/>
    </xf>
    <xf numFmtId="164" fontId="12" fillId="38" borderId="145" xfId="3" applyNumberFormat="1" applyFont="1" applyFill="1" applyBorder="1"/>
    <xf numFmtId="10" fontId="12" fillId="38" borderId="146" xfId="4" applyNumberFormat="1" applyFont="1" applyFill="1" applyBorder="1"/>
    <xf numFmtId="164" fontId="12" fillId="38" borderId="151" xfId="3" applyNumberFormat="1" applyFont="1" applyFill="1" applyBorder="1"/>
    <xf numFmtId="10" fontId="12" fillId="38" borderId="152" xfId="4" applyNumberFormat="1" applyFont="1" applyFill="1" applyBorder="1"/>
    <xf numFmtId="164" fontId="15" fillId="38" borderId="147" xfId="2" applyNumberFormat="1" applyFont="1" applyFill="1" applyBorder="1"/>
    <xf numFmtId="164" fontId="15" fillId="38" borderId="142" xfId="2" applyNumberFormat="1" applyFont="1" applyFill="1" applyBorder="1"/>
    <xf numFmtId="164" fontId="15" fillId="38" borderId="145" xfId="2" applyNumberFormat="1" applyFont="1" applyFill="1" applyBorder="1"/>
    <xf numFmtId="164" fontId="15" fillId="38" borderId="151" xfId="2" applyNumberFormat="1" applyFont="1" applyFill="1" applyBorder="1"/>
    <xf numFmtId="9" fontId="5" fillId="38" borderId="22" xfId="0" applyNumberFormat="1" applyFont="1" applyFill="1" applyBorder="1" applyAlignment="1">
      <alignment horizontal="center"/>
    </xf>
    <xf numFmtId="9" fontId="5" fillId="38" borderId="34" xfId="0" applyNumberFormat="1" applyFont="1" applyFill="1" applyBorder="1" applyAlignment="1">
      <alignment horizontal="center"/>
    </xf>
    <xf numFmtId="169" fontId="5" fillId="43" borderId="17" xfId="0" applyNumberFormat="1" applyFont="1" applyFill="1" applyBorder="1" applyAlignment="1">
      <alignment horizontal="center"/>
    </xf>
    <xf numFmtId="169" fontId="5" fillId="43" borderId="34" xfId="0" applyNumberFormat="1" applyFont="1" applyFill="1" applyBorder="1" applyAlignment="1">
      <alignment horizontal="center"/>
    </xf>
    <xf numFmtId="44" fontId="32" fillId="43" borderId="13" xfId="0" applyNumberFormat="1" applyFont="1" applyFill="1" applyBorder="1" applyAlignment="1">
      <alignment horizontal="center"/>
    </xf>
    <xf numFmtId="0" fontId="5" fillId="43" borderId="9" xfId="0" applyFont="1" applyFill="1" applyBorder="1" applyAlignment="1"/>
    <xf numFmtId="166" fontId="5" fillId="43" borderId="9" xfId="0" applyNumberFormat="1" applyFont="1" applyFill="1" applyBorder="1" applyAlignment="1"/>
    <xf numFmtId="166" fontId="5" fillId="43" borderId="9" xfId="0" applyNumberFormat="1" applyFont="1" applyFill="1" applyBorder="1"/>
    <xf numFmtId="0" fontId="5" fillId="43" borderId="13" xfId="0" applyFont="1" applyFill="1" applyBorder="1" applyAlignment="1"/>
    <xf numFmtId="9" fontId="5" fillId="38" borderId="37" xfId="0" applyNumberFormat="1" applyFont="1" applyFill="1" applyBorder="1" applyAlignment="1">
      <alignment horizontal="center"/>
    </xf>
    <xf numFmtId="9" fontId="5" fillId="38" borderId="17" xfId="0" applyNumberFormat="1" applyFont="1" applyFill="1" applyBorder="1" applyAlignment="1">
      <alignment horizontal="center"/>
    </xf>
    <xf numFmtId="9" fontId="5" fillId="38" borderId="50" xfId="0" applyNumberFormat="1" applyFont="1" applyFill="1" applyBorder="1" applyAlignment="1">
      <alignment horizontal="center"/>
    </xf>
    <xf numFmtId="9" fontId="5" fillId="38" borderId="18" xfId="0" applyNumberFormat="1" applyFont="1" applyFill="1" applyBorder="1" applyAlignment="1">
      <alignment horizontal="center"/>
    </xf>
    <xf numFmtId="9" fontId="5" fillId="38" borderId="54" xfId="0" applyNumberFormat="1" applyFont="1" applyFill="1" applyBorder="1" applyAlignment="1">
      <alignment horizontal="center"/>
    </xf>
    <xf numFmtId="9" fontId="12" fillId="38" borderId="37" xfId="0" applyNumberFormat="1" applyFont="1" applyFill="1" applyBorder="1" applyAlignment="1">
      <alignment horizontal="center"/>
    </xf>
    <xf numFmtId="1" fontId="96" fillId="38" borderId="135" xfId="5" applyNumberFormat="1" applyFont="1" applyFill="1" applyBorder="1" applyAlignment="1">
      <alignment horizontal="right" vertical="center" wrapText="1"/>
    </xf>
    <xf numFmtId="9" fontId="104" fillId="38" borderId="153" xfId="5" applyNumberFormat="1" applyFont="1" applyFill="1" applyBorder="1" applyAlignment="1">
      <alignment horizontal="center" vertical="center" wrapText="1"/>
    </xf>
    <xf numFmtId="0" fontId="102" fillId="23" borderId="136" xfId="5" applyFont="1" applyFill="1" applyBorder="1" applyAlignment="1">
      <alignment vertical="center" wrapText="1"/>
    </xf>
    <xf numFmtId="0" fontId="102" fillId="23" borderId="136" xfId="5" applyFont="1" applyFill="1" applyBorder="1" applyAlignment="1">
      <alignment horizontal="center" vertical="center" wrapText="1"/>
    </xf>
    <xf numFmtId="0" fontId="96" fillId="23" borderId="176" xfId="5" applyFont="1" applyFill="1" applyBorder="1" applyAlignment="1">
      <alignment vertical="center" wrapText="1"/>
    </xf>
    <xf numFmtId="9" fontId="104" fillId="38" borderId="199" xfId="5" applyNumberFormat="1" applyFont="1" applyFill="1" applyBorder="1" applyAlignment="1">
      <alignment horizontal="center" vertical="center" wrapText="1"/>
    </xf>
    <xf numFmtId="0" fontId="96" fillId="23" borderId="201" xfId="5" applyFont="1" applyFill="1" applyBorder="1" applyAlignment="1">
      <alignment vertical="center" wrapText="1"/>
    </xf>
    <xf numFmtId="0" fontId="96" fillId="23" borderId="221" xfId="5" applyFont="1" applyFill="1" applyBorder="1" applyAlignment="1">
      <alignment vertical="center" wrapText="1"/>
    </xf>
    <xf numFmtId="9" fontId="104" fillId="38" borderId="222" xfId="5" applyNumberFormat="1" applyFont="1" applyFill="1" applyBorder="1" applyAlignment="1">
      <alignment horizontal="center" vertical="center" wrapText="1"/>
    </xf>
    <xf numFmtId="0" fontId="105" fillId="23" borderId="217" xfId="5" applyFont="1" applyFill="1" applyBorder="1" applyAlignment="1">
      <alignment vertical="center" wrapText="1"/>
    </xf>
    <xf numFmtId="9" fontId="104" fillId="0" borderId="218" xfId="5" applyNumberFormat="1" applyFont="1" applyBorder="1" applyAlignment="1">
      <alignment horizontal="center" vertical="center" wrapText="1"/>
    </xf>
    <xf numFmtId="0" fontId="102" fillId="30" borderId="117" xfId="5" applyFont="1" applyFill="1" applyBorder="1" applyAlignment="1">
      <alignment horizontal="center" vertical="center" wrapText="1"/>
    </xf>
    <xf numFmtId="9" fontId="96" fillId="0" borderId="136" xfId="6" applyFont="1" applyFill="1" applyBorder="1" applyAlignment="1">
      <alignment horizontal="center" vertical="center" wrapText="1"/>
    </xf>
    <xf numFmtId="9" fontId="96" fillId="0" borderId="134" xfId="6" applyFont="1" applyFill="1" applyBorder="1" applyAlignment="1">
      <alignment horizontal="center" vertical="center" wrapText="1"/>
    </xf>
    <xf numFmtId="9" fontId="96" fillId="0" borderId="135" xfId="6" applyFont="1" applyFill="1" applyBorder="1" applyAlignment="1">
      <alignment horizontal="center" vertical="center" wrapText="1"/>
    </xf>
    <xf numFmtId="8" fontId="104" fillId="38" borderId="200" xfId="5" applyNumberFormat="1" applyFont="1" applyFill="1" applyBorder="1" applyAlignment="1">
      <alignment horizontal="center" vertical="center" wrapText="1"/>
    </xf>
    <xf numFmtId="8" fontId="104" fillId="38" borderId="202" xfId="5" applyNumberFormat="1" applyFont="1" applyFill="1" applyBorder="1" applyAlignment="1">
      <alignment horizontal="center" vertical="center" wrapText="1"/>
    </xf>
    <xf numFmtId="8" fontId="104" fillId="38" borderId="223" xfId="5" applyNumberFormat="1" applyFont="1" applyFill="1" applyBorder="1" applyAlignment="1">
      <alignment horizontal="center" vertical="center" wrapText="1"/>
    </xf>
    <xf numFmtId="0" fontId="102" fillId="30" borderId="136" xfId="5" applyFont="1" applyFill="1" applyBorder="1" applyAlignment="1">
      <alignment horizontal="center" vertical="center" wrapText="1"/>
    </xf>
    <xf numFmtId="0" fontId="96" fillId="0" borderId="176" xfId="5" applyFont="1" applyBorder="1" applyAlignment="1">
      <alignment horizontal="center" vertical="center" wrapText="1"/>
    </xf>
    <xf numFmtId="0" fontId="96" fillId="38" borderId="200" xfId="5" applyFont="1" applyFill="1" applyBorder="1" applyAlignment="1">
      <alignment horizontal="right" vertical="center" wrapText="1"/>
    </xf>
    <xf numFmtId="0" fontId="96" fillId="0" borderId="201" xfId="5" applyFont="1" applyBorder="1" applyAlignment="1">
      <alignment horizontal="center" vertical="center" wrapText="1"/>
    </xf>
    <xf numFmtId="0" fontId="96" fillId="38" borderId="202" xfId="5" applyFont="1" applyFill="1" applyBorder="1" applyAlignment="1">
      <alignment horizontal="right" vertical="center" wrapText="1"/>
    </xf>
    <xf numFmtId="0" fontId="96" fillId="0" borderId="203" xfId="5" applyFont="1" applyBorder="1" applyAlignment="1">
      <alignment horizontal="center" vertical="center" wrapText="1"/>
    </xf>
    <xf numFmtId="1" fontId="96" fillId="38" borderId="205" xfId="5" applyNumberFormat="1" applyFont="1" applyFill="1" applyBorder="1" applyAlignment="1">
      <alignment horizontal="right" vertical="center" wrapText="1"/>
    </xf>
    <xf numFmtId="169" fontId="103" fillId="38" borderId="200" xfId="5" applyNumberFormat="1" applyFont="1" applyFill="1" applyBorder="1" applyAlignment="1">
      <alignment horizontal="right"/>
    </xf>
    <xf numFmtId="169" fontId="103" fillId="38" borderId="202" xfId="5" applyNumberFormat="1" applyFont="1" applyFill="1" applyBorder="1" applyAlignment="1">
      <alignment horizontal="right"/>
    </xf>
    <xf numFmtId="169" fontId="103" fillId="38" borderId="205" xfId="5" applyNumberFormat="1" applyFont="1" applyFill="1" applyBorder="1" applyAlignment="1">
      <alignment horizontal="right"/>
    </xf>
    <xf numFmtId="0" fontId="5" fillId="0" borderId="0" xfId="0" applyFont="1" applyFill="1" applyBorder="1" applyAlignment="1"/>
    <xf numFmtId="0" fontId="40" fillId="0" borderId="0" xfId="0" applyFont="1" applyFill="1" applyBorder="1"/>
    <xf numFmtId="0" fontId="5" fillId="0" borderId="121" xfId="0" applyFont="1" applyFill="1" applyBorder="1"/>
    <xf numFmtId="0" fontId="11" fillId="0" borderId="121" xfId="0" applyFont="1" applyFill="1" applyBorder="1"/>
    <xf numFmtId="10" fontId="40" fillId="0" borderId="0" xfId="0" applyNumberFormat="1" applyFont="1" applyFill="1" applyBorder="1"/>
    <xf numFmtId="165" fontId="5" fillId="0" borderId="0" xfId="0" applyNumberFormat="1" applyFont="1" applyFill="1" applyBorder="1"/>
    <xf numFmtId="10" fontId="11" fillId="0" borderId="121" xfId="0" applyNumberFormat="1" applyFont="1" applyFill="1" applyBorder="1"/>
    <xf numFmtId="165" fontId="34" fillId="0" borderId="0" xfId="0" applyNumberFormat="1" applyFont="1" applyFill="1" applyBorder="1"/>
    <xf numFmtId="0" fontId="34" fillId="0" borderId="0" xfId="0" applyFont="1" applyFill="1" applyBorder="1"/>
    <xf numFmtId="10" fontId="39" fillId="0" borderId="0" xfId="0" applyNumberFormat="1" applyFont="1" applyFill="1" applyBorder="1"/>
    <xf numFmtId="10" fontId="39" fillId="0" borderId="0" xfId="0" applyNumberFormat="1" applyFont="1" applyFill="1" applyBorder="1" applyAlignment="1"/>
    <xf numFmtId="10" fontId="34" fillId="0" borderId="121" xfId="0" applyNumberFormat="1" applyFont="1" applyFill="1" applyBorder="1"/>
    <xf numFmtId="164" fontId="5" fillId="0" borderId="0" xfId="0" applyNumberFormat="1" applyFont="1" applyFill="1" applyBorder="1" applyAlignment="1"/>
    <xf numFmtId="165" fontId="5" fillId="0" borderId="24" xfId="0" applyNumberFormat="1" applyFont="1" applyFill="1" applyBorder="1" applyAlignment="1"/>
    <xf numFmtId="0" fontId="5" fillId="0" borderId="24" xfId="0" applyFont="1" applyFill="1" applyBorder="1"/>
    <xf numFmtId="0" fontId="40" fillId="0" borderId="24" xfId="0" applyFont="1" applyFill="1" applyBorder="1"/>
    <xf numFmtId="0" fontId="5" fillId="0" borderId="173" xfId="0" applyFont="1" applyFill="1" applyBorder="1"/>
    <xf numFmtId="165" fontId="34" fillId="0" borderId="24" xfId="0" applyNumberFormat="1" applyFont="1" applyFill="1" applyBorder="1"/>
    <xf numFmtId="10" fontId="34" fillId="0" borderId="227" xfId="0" applyNumberFormat="1" applyFont="1" applyFill="1" applyBorder="1"/>
    <xf numFmtId="0" fontId="5" fillId="0" borderId="227" xfId="0" applyFont="1" applyFill="1" applyBorder="1"/>
    <xf numFmtId="0" fontId="40" fillId="0" borderId="227" xfId="0" applyFont="1" applyFill="1" applyBorder="1"/>
    <xf numFmtId="0" fontId="5" fillId="0" borderId="228" xfId="0" applyFont="1" applyFill="1" applyBorder="1"/>
    <xf numFmtId="0" fontId="44" fillId="0" borderId="0" xfId="0" applyFont="1" applyFill="1" applyBorder="1"/>
    <xf numFmtId="10" fontId="5" fillId="0" borderId="121" xfId="0" applyNumberFormat="1" applyFont="1" applyFill="1" applyBorder="1" applyAlignment="1"/>
    <xf numFmtId="165" fontId="11" fillId="0" borderId="0" xfId="0" applyNumberFormat="1" applyFont="1" applyFill="1" applyBorder="1"/>
    <xf numFmtId="165" fontId="34" fillId="0" borderId="0" xfId="0" applyNumberFormat="1" applyFont="1" applyFill="1" applyBorder="1" applyAlignment="1"/>
    <xf numFmtId="0" fontId="39" fillId="0" borderId="0" xfId="0" applyFont="1" applyFill="1" applyBorder="1"/>
    <xf numFmtId="165" fontId="17" fillId="0" borderId="0" xfId="0" applyNumberFormat="1" applyFont="1" applyFill="1" applyBorder="1" applyAlignment="1"/>
    <xf numFmtId="9" fontId="11" fillId="0" borderId="121" xfId="0" applyNumberFormat="1" applyFont="1" applyFill="1" applyBorder="1" applyAlignment="1"/>
    <xf numFmtId="44" fontId="5" fillId="0" borderId="0" xfId="0" applyNumberFormat="1" applyFont="1" applyFill="1" applyAlignment="1">
      <alignment horizontal="center"/>
    </xf>
    <xf numFmtId="44" fontId="5" fillId="38" borderId="0" xfId="0" applyNumberFormat="1" applyFont="1" applyFill="1" applyAlignment="1">
      <alignment horizontal="center"/>
    </xf>
    <xf numFmtId="44" fontId="5" fillId="38" borderId="9" xfId="0" applyNumberFormat="1" applyFont="1" applyFill="1" applyBorder="1" applyAlignment="1">
      <alignment horizontal="center"/>
    </xf>
    <xf numFmtId="0" fontId="5" fillId="3" borderId="2" xfId="0" applyFont="1" applyFill="1" applyBorder="1" applyAlignment="1">
      <alignment horizontal="center"/>
    </xf>
    <xf numFmtId="0" fontId="5" fillId="3" borderId="16" xfId="0" applyFont="1" applyFill="1" applyBorder="1" applyAlignment="1">
      <alignment horizontal="center"/>
    </xf>
    <xf numFmtId="44" fontId="5" fillId="38" borderId="176" xfId="0" applyNumberFormat="1" applyFont="1" applyFill="1" applyBorder="1" applyAlignment="1">
      <alignment horizontal="center"/>
    </xf>
    <xf numFmtId="0" fontId="5" fillId="0" borderId="200" xfId="0" applyFont="1" applyBorder="1" applyAlignment="1">
      <alignment horizontal="center"/>
    </xf>
    <xf numFmtId="44" fontId="5" fillId="38" borderId="201" xfId="0" applyNumberFormat="1" applyFont="1" applyFill="1" applyBorder="1" applyAlignment="1">
      <alignment horizontal="center"/>
    </xf>
    <xf numFmtId="0" fontId="5" fillId="0" borderId="202" xfId="0" applyFont="1" applyBorder="1" applyAlignment="1">
      <alignment horizontal="center"/>
    </xf>
    <xf numFmtId="9" fontId="5" fillId="38" borderId="203" xfId="0" applyNumberFormat="1" applyFont="1" applyFill="1" applyBorder="1" applyAlignment="1">
      <alignment horizontal="center"/>
    </xf>
    <xf numFmtId="0" fontId="5" fillId="0" borderId="205" xfId="0" applyFont="1" applyBorder="1" applyAlignment="1">
      <alignment horizontal="center"/>
    </xf>
    <xf numFmtId="44" fontId="5" fillId="38" borderId="149" xfId="0" applyNumberFormat="1" applyFont="1" applyFill="1" applyBorder="1" applyAlignment="1">
      <alignment horizontal="center"/>
    </xf>
    <xf numFmtId="44" fontId="5" fillId="38" borderId="206" xfId="0" applyNumberFormat="1" applyFont="1" applyFill="1" applyBorder="1" applyAlignment="1">
      <alignment horizontal="center"/>
    </xf>
    <xf numFmtId="44" fontId="5" fillId="38" borderId="207" xfId="0" applyNumberFormat="1" applyFont="1" applyFill="1" applyBorder="1" applyAlignment="1">
      <alignment horizontal="center"/>
    </xf>
    <xf numFmtId="0" fontId="11" fillId="3" borderId="1" xfId="0" applyFont="1" applyFill="1" applyBorder="1" applyAlignment="1"/>
    <xf numFmtId="0" fontId="5" fillId="0" borderId="208" xfId="0" applyFont="1" applyBorder="1" applyAlignment="1"/>
    <xf numFmtId="0" fontId="5" fillId="0" borderId="209" xfId="0" applyFont="1" applyBorder="1" applyAlignment="1"/>
    <xf numFmtId="0" fontId="5" fillId="0" borderId="210" xfId="0" applyFont="1" applyBorder="1" applyAlignment="1"/>
    <xf numFmtId="0" fontId="12" fillId="0" borderId="205" xfId="0" applyFont="1" applyBorder="1" applyAlignment="1">
      <alignment horizontal="center"/>
    </xf>
    <xf numFmtId="44" fontId="5" fillId="44" borderId="149" xfId="0" applyNumberFormat="1" applyFont="1" applyFill="1" applyBorder="1" applyAlignment="1">
      <alignment horizontal="center"/>
    </xf>
    <xf numFmtId="9" fontId="5" fillId="38" borderId="206" xfId="0" applyNumberFormat="1" applyFont="1" applyFill="1" applyBorder="1" applyAlignment="1">
      <alignment horizontal="center"/>
    </xf>
    <xf numFmtId="167" fontId="5" fillId="38" borderId="206" xfId="0" applyNumberFormat="1" applyFont="1" applyFill="1" applyBorder="1" applyAlignment="1">
      <alignment horizontal="center"/>
    </xf>
    <xf numFmtId="0" fontId="5" fillId="38" borderId="0" xfId="0" applyFont="1" applyFill="1" applyAlignment="1">
      <alignment horizontal="center"/>
    </xf>
    <xf numFmtId="0" fontId="5" fillId="38" borderId="32" xfId="0" applyFont="1" applyFill="1" applyBorder="1" applyAlignment="1">
      <alignment horizontal="center"/>
    </xf>
    <xf numFmtId="0" fontId="5" fillId="38" borderId="34" xfId="0" applyFont="1" applyFill="1" applyBorder="1" applyAlignment="1">
      <alignment horizontal="center"/>
    </xf>
    <xf numFmtId="0" fontId="5" fillId="38" borderId="46" xfId="0" applyFont="1" applyFill="1" applyBorder="1" applyAlignment="1">
      <alignment horizontal="center"/>
    </xf>
    <xf numFmtId="0" fontId="45" fillId="38" borderId="31" xfId="0" applyFont="1" applyFill="1" applyBorder="1" applyAlignment="1">
      <alignment horizontal="center"/>
    </xf>
    <xf numFmtId="1" fontId="45" fillId="38" borderId="20" xfId="0" applyNumberFormat="1" applyFont="1" applyFill="1" applyBorder="1" applyAlignment="1">
      <alignment horizontal="center"/>
    </xf>
    <xf numFmtId="0" fontId="5" fillId="38" borderId="20" xfId="0" applyFont="1" applyFill="1" applyBorder="1" applyAlignment="1">
      <alignment horizontal="center"/>
    </xf>
    <xf numFmtId="0" fontId="5" fillId="38" borderId="23" xfId="0" applyFont="1" applyFill="1" applyBorder="1" applyAlignment="1">
      <alignment horizontal="center"/>
    </xf>
    <xf numFmtId="44" fontId="45" fillId="38" borderId="22" xfId="0" applyNumberFormat="1" applyFont="1" applyFill="1" applyBorder="1" applyAlignment="1">
      <alignment horizontal="center"/>
    </xf>
    <xf numFmtId="44" fontId="45" fillId="38" borderId="17" xfId="0" applyNumberFormat="1" applyFont="1" applyFill="1" applyBorder="1" applyAlignment="1">
      <alignment horizontal="center"/>
    </xf>
    <xf numFmtId="44" fontId="5" fillId="38" borderId="17" xfId="0" applyNumberFormat="1" applyFont="1" applyFill="1" applyBorder="1" applyAlignment="1">
      <alignment horizontal="center"/>
    </xf>
    <xf numFmtId="44" fontId="5" fillId="38" borderId="21" xfId="0" applyNumberFormat="1" applyFont="1" applyFill="1" applyBorder="1" applyAlignment="1">
      <alignment horizontal="center"/>
    </xf>
    <xf numFmtId="0" fontId="5" fillId="0" borderId="210" xfId="0" applyFont="1" applyBorder="1" applyAlignment="1">
      <alignment wrapText="1"/>
    </xf>
    <xf numFmtId="0" fontId="5" fillId="38" borderId="176" xfId="0" applyFont="1" applyFill="1" applyBorder="1" applyAlignment="1">
      <alignment horizontal="center"/>
    </xf>
    <xf numFmtId="0" fontId="5" fillId="0" borderId="201" xfId="0" applyFont="1" applyBorder="1" applyAlignment="1">
      <alignment horizontal="center"/>
    </xf>
    <xf numFmtId="0" fontId="5" fillId="38" borderId="201" xfId="0" applyFont="1" applyFill="1" applyBorder="1" applyAlignment="1">
      <alignment horizontal="center"/>
    </xf>
    <xf numFmtId="0" fontId="5" fillId="38" borderId="202" xfId="0" applyFont="1" applyFill="1" applyBorder="1" applyAlignment="1">
      <alignment horizontal="center"/>
    </xf>
    <xf numFmtId="9" fontId="5" fillId="38" borderId="201" xfId="0" applyNumberFormat="1" applyFont="1" applyFill="1" applyBorder="1" applyAlignment="1">
      <alignment horizontal="center"/>
    </xf>
    <xf numFmtId="0" fontId="5" fillId="0" borderId="203" xfId="0" applyFont="1" applyBorder="1" applyAlignment="1">
      <alignment horizontal="center"/>
    </xf>
    <xf numFmtId="0" fontId="5" fillId="43" borderId="17" xfId="0" applyFont="1" applyFill="1" applyBorder="1" applyAlignment="1">
      <alignment horizontal="right"/>
    </xf>
    <xf numFmtId="164" fontId="5" fillId="43" borderId="17" xfId="0" applyNumberFormat="1" applyFont="1" applyFill="1" applyBorder="1" applyAlignment="1">
      <alignment horizontal="right"/>
    </xf>
    <xf numFmtId="0" fontId="5" fillId="43" borderId="21" xfId="0" applyFont="1" applyFill="1" applyBorder="1" applyAlignment="1">
      <alignment horizontal="right"/>
    </xf>
    <xf numFmtId="164" fontId="5" fillId="43" borderId="21" xfId="0" applyNumberFormat="1" applyFont="1" applyFill="1" applyBorder="1" applyAlignment="1">
      <alignment horizontal="right"/>
    </xf>
    <xf numFmtId="0" fontId="5" fillId="38" borderId="17" xfId="0" applyFont="1" applyFill="1" applyBorder="1" applyAlignment="1">
      <alignment horizontal="right"/>
    </xf>
    <xf numFmtId="164" fontId="5" fillId="38" borderId="17" xfId="0" applyNumberFormat="1" applyFont="1" applyFill="1" applyBorder="1" applyAlignment="1">
      <alignment horizontal="right"/>
    </xf>
    <xf numFmtId="0" fontId="5" fillId="38" borderId="21" xfId="0" applyFont="1" applyFill="1" applyBorder="1" applyAlignment="1">
      <alignment horizontal="right"/>
    </xf>
    <xf numFmtId="9" fontId="5" fillId="43" borderId="193" xfId="0" applyNumberFormat="1" applyFont="1" applyFill="1" applyBorder="1" applyAlignment="1">
      <alignment horizontal="center"/>
    </xf>
    <xf numFmtId="1" fontId="5" fillId="43" borderId="168" xfId="0" applyNumberFormat="1" applyFont="1" applyFill="1" applyBorder="1" applyAlignment="1">
      <alignment horizontal="center"/>
    </xf>
    <xf numFmtId="0" fontId="5" fillId="43" borderId="0" xfId="0" applyFont="1" applyFill="1" applyAlignment="1">
      <alignment horizontal="center"/>
    </xf>
    <xf numFmtId="0" fontId="5" fillId="43" borderId="9" xfId="0" applyFont="1" applyFill="1" applyBorder="1" applyAlignment="1">
      <alignment horizontal="center"/>
    </xf>
    <xf numFmtId="0" fontId="45" fillId="38" borderId="24" xfId="0" applyFont="1" applyFill="1" applyBorder="1" applyAlignment="1">
      <alignment horizontal="center"/>
    </xf>
    <xf numFmtId="0" fontId="5" fillId="38" borderId="19" xfId="0" applyFont="1" applyFill="1" applyBorder="1" applyAlignment="1">
      <alignment horizontal="center"/>
    </xf>
    <xf numFmtId="0" fontId="5" fillId="38" borderId="80" xfId="0" applyFont="1" applyFill="1" applyBorder="1" applyAlignment="1">
      <alignment horizontal="center"/>
    </xf>
    <xf numFmtId="10" fontId="5" fillId="0" borderId="37" xfId="0" applyNumberFormat="1" applyFont="1" applyBorder="1" applyAlignment="1">
      <alignment horizontal="center"/>
    </xf>
    <xf numFmtId="10" fontId="5" fillId="0" borderId="38" xfId="0" applyNumberFormat="1" applyFont="1" applyBorder="1" applyAlignment="1">
      <alignment horizontal="center"/>
    </xf>
    <xf numFmtId="0" fontId="11" fillId="29" borderId="56" xfId="0" applyFont="1" applyFill="1" applyBorder="1" applyAlignment="1">
      <alignment horizontal="center"/>
    </xf>
    <xf numFmtId="0" fontId="11" fillId="29" borderId="59" xfId="0" applyFont="1" applyFill="1" applyBorder="1" applyAlignment="1">
      <alignment horizontal="center"/>
    </xf>
    <xf numFmtId="10" fontId="5" fillId="0" borderId="30" xfId="0" applyNumberFormat="1" applyFont="1" applyBorder="1" applyAlignment="1">
      <alignment horizontal="center"/>
    </xf>
    <xf numFmtId="0" fontId="5" fillId="38" borderId="30" xfId="0" applyFont="1" applyFill="1" applyBorder="1" applyAlignment="1">
      <alignment horizontal="center"/>
    </xf>
    <xf numFmtId="10" fontId="5" fillId="0" borderId="33" xfId="0" applyNumberFormat="1" applyFont="1" applyBorder="1" applyAlignment="1">
      <alignment horizontal="center"/>
    </xf>
    <xf numFmtId="0" fontId="5" fillId="38" borderId="33" xfId="0" applyFont="1" applyFill="1" applyBorder="1" applyAlignment="1">
      <alignment horizontal="center"/>
    </xf>
    <xf numFmtId="10" fontId="5" fillId="0" borderId="79" xfId="0" applyNumberFormat="1" applyFont="1" applyBorder="1" applyAlignment="1">
      <alignment horizontal="center"/>
    </xf>
    <xf numFmtId="0" fontId="61" fillId="44" borderId="33" xfId="0" applyFont="1" applyFill="1" applyBorder="1" applyAlignment="1">
      <alignment horizontal="center"/>
    </xf>
    <xf numFmtId="10" fontId="5" fillId="0" borderId="78" xfId="0" applyNumberFormat="1" applyFont="1" applyBorder="1" applyAlignment="1">
      <alignment horizontal="center"/>
    </xf>
    <xf numFmtId="0" fontId="62" fillId="44" borderId="35" xfId="0" applyFont="1" applyFill="1" applyBorder="1" applyAlignment="1">
      <alignment horizontal="center"/>
    </xf>
    <xf numFmtId="10" fontId="5" fillId="0" borderId="81" xfId="0" applyNumberFormat="1" applyFont="1" applyBorder="1" applyAlignment="1">
      <alignment horizontal="center"/>
    </xf>
    <xf numFmtId="0" fontId="11" fillId="2" borderId="76" xfId="0" applyFont="1" applyFill="1" applyBorder="1" applyAlignment="1">
      <alignment horizontal="center"/>
    </xf>
    <xf numFmtId="0" fontId="5" fillId="0" borderId="75" xfId="0" applyFont="1" applyBorder="1" applyAlignment="1">
      <alignment horizontal="center"/>
    </xf>
    <xf numFmtId="0" fontId="5" fillId="0" borderId="35" xfId="0" applyFont="1" applyBorder="1" applyAlignment="1">
      <alignment horizontal="center"/>
    </xf>
    <xf numFmtId="10" fontId="11" fillId="2" borderId="82" xfId="0" applyNumberFormat="1" applyFont="1" applyFill="1" applyBorder="1" applyAlignment="1">
      <alignment horizontal="center"/>
    </xf>
    <xf numFmtId="10" fontId="12" fillId="43" borderId="5" xfId="0" applyNumberFormat="1" applyFont="1" applyFill="1" applyBorder="1" applyAlignment="1">
      <alignment horizontal="right"/>
    </xf>
    <xf numFmtId="168" fontId="5" fillId="0" borderId="128" xfId="0" applyNumberFormat="1" applyFont="1" applyFill="1" applyBorder="1" applyAlignment="1">
      <alignment horizontal="center"/>
    </xf>
    <xf numFmtId="168" fontId="5" fillId="0" borderId="0" xfId="0" applyNumberFormat="1" applyFont="1" applyFill="1" applyBorder="1" applyAlignment="1">
      <alignment horizontal="center"/>
    </xf>
    <xf numFmtId="168" fontId="5" fillId="0" borderId="121" xfId="0" applyNumberFormat="1" applyFont="1" applyFill="1" applyBorder="1" applyAlignment="1">
      <alignment horizontal="center"/>
    </xf>
    <xf numFmtId="10" fontId="12" fillId="38" borderId="5" xfId="0" applyNumberFormat="1" applyFont="1" applyFill="1" applyBorder="1" applyAlignment="1">
      <alignment horizontal="right"/>
    </xf>
    <xf numFmtId="0" fontId="5" fillId="0" borderId="0" xfId="7" applyFont="1"/>
    <xf numFmtId="0" fontId="12" fillId="0" borderId="0" xfId="7" applyFont="1"/>
    <xf numFmtId="1" fontId="5" fillId="0" borderId="0" xfId="7" applyNumberFormat="1" applyFont="1"/>
    <xf numFmtId="0" fontId="11" fillId="0" borderId="0" xfId="7" applyFont="1"/>
    <xf numFmtId="44" fontId="5" fillId="0" borderId="0" xfId="7" applyNumberFormat="1" applyFont="1"/>
    <xf numFmtId="0" fontId="12" fillId="4" borderId="172" xfId="7" applyFont="1" applyFill="1" applyBorder="1"/>
    <xf numFmtId="0" fontId="17" fillId="4" borderId="24" xfId="7" applyFont="1" applyFill="1" applyBorder="1" applyAlignment="1">
      <alignment horizontal="center"/>
    </xf>
    <xf numFmtId="0" fontId="17" fillId="4" borderId="173" xfId="7" applyFont="1" applyFill="1" applyBorder="1" applyAlignment="1">
      <alignment horizontal="center"/>
    </xf>
    <xf numFmtId="10" fontId="12" fillId="4" borderId="24" xfId="7" applyNumberFormat="1" applyFont="1" applyFill="1" applyBorder="1" applyAlignment="1">
      <alignment horizontal="right"/>
    </xf>
    <xf numFmtId="10" fontId="12" fillId="4" borderId="173" xfId="7" applyNumberFormat="1" applyFont="1" applyFill="1" applyBorder="1"/>
    <xf numFmtId="0" fontId="12" fillId="4" borderId="174" xfId="7" applyFont="1" applyFill="1" applyBorder="1"/>
    <xf numFmtId="3" fontId="12" fillId="4" borderId="24" xfId="7" applyNumberFormat="1" applyFont="1" applyFill="1" applyBorder="1" applyAlignment="1">
      <alignment horizontal="right"/>
    </xf>
    <xf numFmtId="3" fontId="12" fillId="4" borderId="173" xfId="7" applyNumberFormat="1" applyFont="1" applyFill="1" applyBorder="1" applyAlignment="1">
      <alignment horizontal="right"/>
    </xf>
    <xf numFmtId="0" fontId="17" fillId="22" borderId="172" xfId="7" applyFont="1" applyFill="1" applyBorder="1"/>
    <xf numFmtId="0" fontId="12" fillId="22" borderId="0" xfId="7" applyFont="1" applyFill="1" applyBorder="1"/>
    <xf numFmtId="0" fontId="12" fillId="22" borderId="121" xfId="7" applyFont="1" applyFill="1" applyBorder="1"/>
    <xf numFmtId="0" fontId="12" fillId="22" borderId="172" xfId="7" applyFont="1" applyFill="1" applyBorder="1" applyAlignment="1">
      <alignment horizontal="right"/>
    </xf>
    <xf numFmtId="0" fontId="12" fillId="22" borderId="0" xfId="7" applyFont="1" applyFill="1" applyBorder="1" applyAlignment="1">
      <alignment horizontal="right"/>
    </xf>
    <xf numFmtId="3" fontId="12" fillId="22" borderId="0" xfId="7" applyNumberFormat="1" applyFont="1" applyFill="1" applyBorder="1" applyAlignment="1">
      <alignment horizontal="right"/>
    </xf>
    <xf numFmtId="3" fontId="12" fillId="22" borderId="121" xfId="7" applyNumberFormat="1" applyFont="1" applyFill="1" applyBorder="1" applyAlignment="1">
      <alignment horizontal="right"/>
    </xf>
    <xf numFmtId="0" fontId="12" fillId="22" borderId="174" xfId="7" applyFont="1" applyFill="1" applyBorder="1"/>
    <xf numFmtId="0" fontId="12" fillId="22" borderId="24" xfId="7" applyFont="1" applyFill="1" applyBorder="1" applyAlignment="1">
      <alignment horizontal="right"/>
    </xf>
    <xf numFmtId="3" fontId="12" fillId="22" borderId="173" xfId="7" applyNumberFormat="1" applyFont="1" applyFill="1" applyBorder="1" applyAlignment="1">
      <alignment horizontal="right"/>
    </xf>
    <xf numFmtId="0" fontId="17" fillId="13" borderId="172" xfId="7" applyFont="1" applyFill="1" applyBorder="1" applyAlignment="1">
      <alignment horizontal="left"/>
    </xf>
    <xf numFmtId="0" fontId="12" fillId="13" borderId="0" xfId="7" applyFont="1" applyFill="1" applyBorder="1"/>
    <xf numFmtId="0" fontId="12" fillId="13" borderId="121" xfId="7" applyFont="1" applyFill="1" applyBorder="1"/>
    <xf numFmtId="0" fontId="12" fillId="13" borderId="172" xfId="7" applyFont="1" applyFill="1" applyBorder="1" applyAlignment="1">
      <alignment horizontal="right"/>
    </xf>
    <xf numFmtId="0" fontId="17" fillId="13" borderId="174" xfId="7" applyFont="1" applyFill="1" applyBorder="1" applyAlignment="1">
      <alignment horizontal="left"/>
    </xf>
    <xf numFmtId="0" fontId="12" fillId="13" borderId="24" xfId="7" applyFont="1" applyFill="1" applyBorder="1"/>
    <xf numFmtId="0" fontId="12" fillId="13" borderId="173" xfId="7" applyFont="1" applyFill="1" applyBorder="1"/>
    <xf numFmtId="0" fontId="17" fillId="0" borderId="0" xfId="7" applyFont="1"/>
    <xf numFmtId="0" fontId="17" fillId="0" borderId="0" xfId="7" applyFont="1" applyAlignment="1">
      <alignment horizontal="center"/>
    </xf>
    <xf numFmtId="0" fontId="12" fillId="22" borderId="121" xfId="7" applyFont="1" applyFill="1" applyBorder="1" applyAlignment="1">
      <alignment horizontal="right"/>
    </xf>
    <xf numFmtId="3" fontId="12" fillId="22" borderId="24" xfId="7" applyNumberFormat="1" applyFont="1" applyFill="1" applyBorder="1" applyAlignment="1">
      <alignment horizontal="right"/>
    </xf>
    <xf numFmtId="176" fontId="12" fillId="22" borderId="24" xfId="7" applyNumberFormat="1" applyFont="1" applyFill="1" applyBorder="1" applyAlignment="1">
      <alignment horizontal="right"/>
    </xf>
    <xf numFmtId="0" fontId="17" fillId="33" borderId="172" xfId="7" applyFont="1" applyFill="1" applyBorder="1" applyAlignment="1">
      <alignment horizontal="left"/>
    </xf>
    <xf numFmtId="0" fontId="12" fillId="33" borderId="0" xfId="7" applyFont="1" applyFill="1" applyBorder="1"/>
    <xf numFmtId="0" fontId="12" fillId="33" borderId="121" xfId="7" applyFont="1" applyFill="1" applyBorder="1"/>
    <xf numFmtId="0" fontId="12" fillId="33" borderId="172" xfId="7" applyFont="1" applyFill="1" applyBorder="1" applyAlignment="1">
      <alignment horizontal="right"/>
    </xf>
    <xf numFmtId="3" fontId="12" fillId="33" borderId="0" xfId="7" applyNumberFormat="1" applyFont="1" applyFill="1" applyBorder="1"/>
    <xf numFmtId="3" fontId="12" fillId="33" borderId="121" xfId="7" applyNumberFormat="1" applyFont="1" applyFill="1" applyBorder="1"/>
    <xf numFmtId="0" fontId="17" fillId="33" borderId="174" xfId="7" applyFont="1" applyFill="1" applyBorder="1" applyAlignment="1">
      <alignment horizontal="left"/>
    </xf>
    <xf numFmtId="0" fontId="12" fillId="34" borderId="24" xfId="7" applyFont="1" applyFill="1" applyBorder="1"/>
    <xf numFmtId="3" fontId="12" fillId="33" borderId="24" xfId="7" applyNumberFormat="1" applyFont="1" applyFill="1" applyBorder="1"/>
    <xf numFmtId="3" fontId="12" fillId="33" borderId="173" xfId="7" applyNumberFormat="1" applyFont="1" applyFill="1" applyBorder="1"/>
    <xf numFmtId="3" fontId="12" fillId="22" borderId="0" xfId="7" applyNumberFormat="1" applyFont="1" applyFill="1" applyBorder="1"/>
    <xf numFmtId="3" fontId="12" fillId="35" borderId="0" xfId="7" applyNumberFormat="1" applyFont="1" applyFill="1" applyBorder="1"/>
    <xf numFmtId="3" fontId="12" fillId="13" borderId="0" xfId="7" applyNumberFormat="1" applyFont="1" applyFill="1" applyBorder="1"/>
    <xf numFmtId="3" fontId="12" fillId="13" borderId="121" xfId="7" applyNumberFormat="1" applyFont="1" applyFill="1" applyBorder="1"/>
    <xf numFmtId="0" fontId="12" fillId="35" borderId="24" xfId="7" applyFont="1" applyFill="1" applyBorder="1"/>
    <xf numFmtId="3" fontId="12" fillId="13" borderId="24" xfId="7" applyNumberFormat="1" applyFont="1" applyFill="1" applyBorder="1"/>
    <xf numFmtId="3" fontId="12" fillId="13" borderId="173" xfId="7" applyNumberFormat="1" applyFont="1" applyFill="1" applyBorder="1"/>
    <xf numFmtId="0" fontId="5" fillId="0" borderId="209" xfId="7" applyFont="1" applyBorder="1"/>
    <xf numFmtId="0" fontId="5" fillId="0" borderId="210" xfId="7" applyFont="1" applyBorder="1"/>
    <xf numFmtId="0" fontId="5" fillId="0" borderId="208" xfId="7" applyFont="1" applyBorder="1" applyAlignment="1">
      <alignment wrapText="1"/>
    </xf>
    <xf numFmtId="0" fontId="12" fillId="0" borderId="238" xfId="7" applyFont="1" applyBorder="1"/>
    <xf numFmtId="44" fontId="5" fillId="0" borderId="239" xfId="7" applyNumberFormat="1" applyFont="1" applyBorder="1"/>
    <xf numFmtId="0" fontId="5" fillId="0" borderId="237" xfId="7" applyFont="1" applyBorder="1" applyAlignment="1">
      <alignment wrapText="1"/>
    </xf>
    <xf numFmtId="0" fontId="17" fillId="46" borderId="172" xfId="7" applyFont="1" applyFill="1" applyBorder="1"/>
    <xf numFmtId="0" fontId="12" fillId="46" borderId="0" xfId="7" applyFont="1" applyFill="1" applyBorder="1"/>
    <xf numFmtId="0" fontId="12" fillId="46" borderId="121" xfId="7" applyFont="1" applyFill="1" applyBorder="1"/>
    <xf numFmtId="0" fontId="12" fillId="46" borderId="172" xfId="7" applyFont="1" applyFill="1" applyBorder="1" applyAlignment="1">
      <alignment horizontal="right"/>
    </xf>
    <xf numFmtId="0" fontId="12" fillId="46" borderId="0" xfId="7" applyFont="1" applyFill="1" applyBorder="1" applyAlignment="1">
      <alignment horizontal="right"/>
    </xf>
    <xf numFmtId="3" fontId="12" fillId="46" borderId="0" xfId="7" applyNumberFormat="1" applyFont="1" applyFill="1" applyBorder="1" applyAlignment="1">
      <alignment horizontal="right"/>
    </xf>
    <xf numFmtId="3" fontId="12" fillId="46" borderId="121" xfId="7" applyNumberFormat="1" applyFont="1" applyFill="1" applyBorder="1" applyAlignment="1">
      <alignment horizontal="right"/>
    </xf>
    <xf numFmtId="0" fontId="12" fillId="46" borderId="174" xfId="7" applyFont="1" applyFill="1" applyBorder="1"/>
    <xf numFmtId="0" fontId="12" fillId="46" borderId="24" xfId="7" applyFont="1" applyFill="1" applyBorder="1" applyAlignment="1">
      <alignment horizontal="right"/>
    </xf>
    <xf numFmtId="3" fontId="12" fillId="46" borderId="173" xfId="7" applyNumberFormat="1" applyFont="1" applyFill="1" applyBorder="1" applyAlignment="1">
      <alignment horizontal="right"/>
    </xf>
    <xf numFmtId="0" fontId="17" fillId="47" borderId="172" xfId="7" applyFont="1" applyFill="1" applyBorder="1" applyAlignment="1">
      <alignment horizontal="left"/>
    </xf>
    <xf numFmtId="0" fontId="12" fillId="47" borderId="0" xfId="7" applyFont="1" applyFill="1" applyBorder="1"/>
    <xf numFmtId="0" fontId="12" fillId="47" borderId="121" xfId="7" applyFont="1" applyFill="1" applyBorder="1"/>
    <xf numFmtId="0" fontId="12" fillId="47" borderId="172" xfId="7" applyFont="1" applyFill="1" applyBorder="1" applyAlignment="1">
      <alignment horizontal="right"/>
    </xf>
    <xf numFmtId="167" fontId="12" fillId="47" borderId="0" xfId="7" applyNumberFormat="1" applyFont="1" applyFill="1" applyBorder="1" applyAlignment="1">
      <alignment horizontal="right"/>
    </xf>
    <xf numFmtId="167" fontId="12" fillId="47" borderId="121" xfId="7" applyNumberFormat="1" applyFont="1" applyFill="1" applyBorder="1" applyAlignment="1">
      <alignment horizontal="right"/>
    </xf>
    <xf numFmtId="44" fontId="12" fillId="47" borderId="0" xfId="7" applyNumberFormat="1" applyFont="1" applyFill="1" applyBorder="1"/>
    <xf numFmtId="44" fontId="12" fillId="47" borderId="121" xfId="7" applyNumberFormat="1" applyFont="1" applyFill="1" applyBorder="1"/>
    <xf numFmtId="0" fontId="17" fillId="47" borderId="174" xfId="7" applyFont="1" applyFill="1" applyBorder="1" applyAlignment="1">
      <alignment horizontal="left"/>
    </xf>
    <xf numFmtId="0" fontId="12" fillId="47" borderId="24" xfId="7" applyFont="1" applyFill="1" applyBorder="1"/>
    <xf numFmtId="0" fontId="12" fillId="47" borderId="173" xfId="7" applyFont="1" applyFill="1" applyBorder="1"/>
    <xf numFmtId="0" fontId="12" fillId="47" borderId="174" xfId="7" applyFont="1" applyFill="1" applyBorder="1" applyAlignment="1">
      <alignment horizontal="right"/>
    </xf>
    <xf numFmtId="4" fontId="12" fillId="47" borderId="24" xfId="7" applyNumberFormat="1" applyFont="1" applyFill="1" applyBorder="1"/>
    <xf numFmtId="3" fontId="12" fillId="47" borderId="24" xfId="7" applyNumberFormat="1" applyFont="1" applyFill="1" applyBorder="1"/>
    <xf numFmtId="3" fontId="12" fillId="47" borderId="173" xfId="7" applyNumberFormat="1" applyFont="1" applyFill="1" applyBorder="1"/>
    <xf numFmtId="3" fontId="12" fillId="46" borderId="0" xfId="7" applyNumberFormat="1" applyFont="1" applyFill="1" applyBorder="1"/>
    <xf numFmtId="3" fontId="12" fillId="46" borderId="24" xfId="7" applyNumberFormat="1" applyFont="1" applyFill="1" applyBorder="1" applyAlignment="1">
      <alignment horizontal="right"/>
    </xf>
    <xf numFmtId="167" fontId="12" fillId="47" borderId="24" xfId="7" applyNumberFormat="1" applyFont="1" applyFill="1" applyBorder="1"/>
    <xf numFmtId="167" fontId="12" fillId="47" borderId="173" xfId="7" applyNumberFormat="1" applyFont="1" applyFill="1" applyBorder="1"/>
    <xf numFmtId="0" fontId="17" fillId="48" borderId="175" xfId="7" applyFont="1" applyFill="1" applyBorder="1" applyAlignment="1">
      <alignment horizontal="left"/>
    </xf>
    <xf numFmtId="165" fontId="12" fillId="48" borderId="131" xfId="7" applyNumberFormat="1" applyFont="1" applyFill="1" applyBorder="1" applyAlignment="1">
      <alignment horizontal="right"/>
    </xf>
    <xf numFmtId="165" fontId="17" fillId="49" borderId="127" xfId="7" applyNumberFormat="1" applyFont="1" applyFill="1" applyBorder="1" applyAlignment="1">
      <alignment horizontal="right"/>
    </xf>
    <xf numFmtId="0" fontId="12" fillId="43" borderId="0" xfId="0" applyFont="1" applyFill="1" applyAlignment="1">
      <alignment horizontal="center"/>
    </xf>
    <xf numFmtId="44" fontId="5" fillId="43" borderId="0" xfId="0" applyNumberFormat="1" applyFont="1" applyFill="1" applyAlignment="1">
      <alignment horizontal="center"/>
    </xf>
    <xf numFmtId="9" fontId="5" fillId="43" borderId="0" xfId="0" applyNumberFormat="1" applyFont="1" applyFill="1" applyAlignment="1">
      <alignment horizontal="center"/>
    </xf>
    <xf numFmtId="0" fontId="5" fillId="38" borderId="153" xfId="0" applyFont="1" applyFill="1" applyBorder="1" applyAlignment="1"/>
    <xf numFmtId="3" fontId="5" fillId="38" borderId="153" xfId="0" applyNumberFormat="1" applyFont="1" applyFill="1" applyBorder="1" applyAlignment="1"/>
    <xf numFmtId="0" fontId="5" fillId="38" borderId="204" xfId="0" applyFont="1" applyFill="1" applyBorder="1" applyAlignment="1"/>
    <xf numFmtId="3" fontId="5" fillId="38" borderId="204" xfId="0" applyNumberFormat="1" applyFont="1" applyFill="1" applyBorder="1" applyAlignment="1"/>
    <xf numFmtId="1" fontId="5" fillId="38" borderId="153" xfId="0" applyNumberFormat="1" applyFont="1" applyFill="1" applyBorder="1" applyAlignment="1"/>
    <xf numFmtId="1" fontId="5" fillId="38" borderId="204" xfId="0" applyNumberFormat="1" applyFont="1" applyFill="1" applyBorder="1" applyAlignment="1"/>
    <xf numFmtId="0" fontId="5" fillId="43" borderId="87" xfId="0" applyFont="1" applyFill="1" applyBorder="1" applyAlignment="1">
      <alignment horizontal="center"/>
    </xf>
    <xf numFmtId="42" fontId="11" fillId="0" borderId="17" xfId="0" applyNumberFormat="1" applyFont="1" applyBorder="1"/>
    <xf numFmtId="42" fontId="11" fillId="0" borderId="34" xfId="0" applyNumberFormat="1" applyFont="1" applyBorder="1"/>
    <xf numFmtId="0" fontId="27" fillId="0" borderId="0" xfId="0" applyFont="1" applyAlignment="1">
      <alignment horizontal="center"/>
    </xf>
    <xf numFmtId="1" fontId="21" fillId="0" borderId="0" xfId="0" applyNumberFormat="1" applyFont="1" applyAlignment="1">
      <alignment horizontal="center"/>
    </xf>
    <xf numFmtId="9" fontId="21" fillId="0" borderId="0" xfId="0" applyNumberFormat="1" applyFont="1" applyAlignment="1">
      <alignment horizontal="center"/>
    </xf>
    <xf numFmtId="0" fontId="21" fillId="0" borderId="0" xfId="0" applyFont="1"/>
    <xf numFmtId="9" fontId="21" fillId="0" borderId="0" xfId="0" applyNumberFormat="1" applyFont="1"/>
    <xf numFmtId="10" fontId="22" fillId="0" borderId="0" xfId="0" applyNumberFormat="1" applyFont="1"/>
    <xf numFmtId="0" fontId="0" fillId="0" borderId="0" xfId="0" applyAlignment="1">
      <alignment horizontal="center"/>
    </xf>
    <xf numFmtId="10" fontId="22" fillId="0" borderId="128" xfId="0" applyNumberFormat="1" applyFont="1" applyBorder="1" applyAlignment="1">
      <alignment horizontal="center"/>
    </xf>
    <xf numFmtId="174" fontId="11" fillId="0" borderId="189" xfId="0" applyNumberFormat="1" applyFont="1" applyBorder="1" applyAlignment="1">
      <alignment horizontal="center"/>
    </xf>
    <xf numFmtId="44" fontId="5" fillId="0" borderId="144" xfId="0" applyNumberFormat="1" applyFont="1" applyBorder="1" applyAlignment="1">
      <alignment horizontal="center"/>
    </xf>
    <xf numFmtId="10" fontId="21" fillId="0" borderId="128" xfId="0" applyNumberFormat="1" applyFont="1" applyBorder="1" applyAlignment="1">
      <alignment horizontal="center"/>
    </xf>
    <xf numFmtId="0" fontId="0" fillId="0" borderId="128" xfId="0" applyBorder="1" applyAlignment="1">
      <alignment horizontal="center"/>
    </xf>
    <xf numFmtId="0" fontId="0" fillId="0" borderId="0" xfId="0" applyFont="1" applyFill="1" applyAlignment="1"/>
    <xf numFmtId="10" fontId="17" fillId="0" borderId="0" xfId="0" applyNumberFormat="1" applyFont="1" applyFill="1" applyAlignment="1"/>
    <xf numFmtId="10" fontId="17" fillId="0" borderId="0" xfId="0" applyNumberFormat="1" applyFont="1" applyFill="1"/>
    <xf numFmtId="0" fontId="9" fillId="0" borderId="0" xfId="0" applyFont="1" applyFill="1" applyAlignment="1"/>
    <xf numFmtId="9" fontId="9" fillId="0" borderId="0" xfId="0" applyNumberFormat="1" applyFont="1" applyFill="1" applyAlignment="1"/>
    <xf numFmtId="0" fontId="53" fillId="0" borderId="0" xfId="0" applyFont="1" applyFill="1"/>
    <xf numFmtId="164" fontId="5" fillId="23" borderId="17" xfId="0" applyNumberFormat="1" applyFont="1" applyFill="1" applyBorder="1" applyAlignment="1">
      <alignment horizontal="right"/>
    </xf>
    <xf numFmtId="0" fontId="8" fillId="52" borderId="208" xfId="0" applyFont="1" applyFill="1" applyBorder="1" applyAlignment="1"/>
    <xf numFmtId="44" fontId="11" fillId="0" borderId="0" xfId="0" applyNumberFormat="1" applyFont="1" applyFill="1" applyBorder="1" applyAlignment="1">
      <alignment horizontal="center"/>
    </xf>
    <xf numFmtId="0" fontId="11" fillId="53" borderId="185" xfId="0" applyFont="1" applyFill="1" applyBorder="1" applyAlignment="1">
      <alignment horizontal="center"/>
    </xf>
    <xf numFmtId="167" fontId="11" fillId="53" borderId="150" xfId="0" applyNumberFormat="1" applyFont="1" applyFill="1" applyBorder="1" applyAlignment="1">
      <alignment horizontal="center"/>
    </xf>
    <xf numFmtId="167" fontId="11" fillId="53" borderId="186" xfId="0" applyNumberFormat="1" applyFont="1" applyFill="1" applyBorder="1" applyAlignment="1">
      <alignment horizontal="center"/>
    </xf>
    <xf numFmtId="0" fontId="11" fillId="53" borderId="182" xfId="0" applyFont="1" applyFill="1" applyBorder="1" applyAlignment="1">
      <alignment horizontal="center"/>
    </xf>
    <xf numFmtId="167" fontId="5" fillId="53" borderId="24" xfId="0" applyNumberFormat="1" applyFont="1" applyFill="1" applyBorder="1" applyAlignment="1">
      <alignment horizontal="center"/>
    </xf>
    <xf numFmtId="167" fontId="5" fillId="53" borderId="173" xfId="0" applyNumberFormat="1" applyFont="1" applyFill="1" applyBorder="1" applyAlignment="1">
      <alignment horizontal="center"/>
    </xf>
    <xf numFmtId="42" fontId="11" fillId="53" borderId="150" xfId="0" applyNumberFormat="1" applyFont="1" applyFill="1" applyBorder="1" applyAlignment="1">
      <alignment horizontal="center"/>
    </xf>
    <xf numFmtId="0" fontId="5" fillId="0" borderId="0" xfId="0" applyFont="1"/>
    <xf numFmtId="0" fontId="0" fillId="0" borderId="0" xfId="0" applyFont="1" applyAlignment="1"/>
    <xf numFmtId="0" fontId="0" fillId="38" borderId="0" xfId="0" applyFont="1" applyFill="1" applyAlignment="1"/>
    <xf numFmtId="10" fontId="5" fillId="38" borderId="134" xfId="0" applyNumberFormat="1" applyFont="1" applyFill="1" applyBorder="1" applyAlignment="1"/>
    <xf numFmtId="10" fontId="5" fillId="38" borderId="135" xfId="0" applyNumberFormat="1" applyFont="1" applyFill="1" applyBorder="1" applyAlignment="1"/>
    <xf numFmtId="10" fontId="5" fillId="38" borderId="136" xfId="0" applyNumberFormat="1" applyFont="1" applyFill="1" applyBorder="1" applyAlignment="1"/>
    <xf numFmtId="3" fontId="5" fillId="42" borderId="42" xfId="0" applyNumberFormat="1" applyFont="1" applyFill="1" applyBorder="1" applyAlignment="1">
      <alignment horizontal="right"/>
    </xf>
    <xf numFmtId="0" fontId="1" fillId="0" borderId="0" xfId="5" applyFont="1"/>
    <xf numFmtId="0" fontId="12" fillId="43" borderId="17" xfId="0" applyFont="1" applyFill="1" applyBorder="1" applyAlignment="1">
      <alignment horizontal="left" wrapText="1"/>
    </xf>
    <xf numFmtId="165" fontId="12" fillId="43" borderId="17" xfId="0" applyNumberFormat="1" applyFont="1" applyFill="1" applyBorder="1" applyAlignment="1">
      <alignment horizontal="left" wrapText="1"/>
    </xf>
    <xf numFmtId="165" fontId="5" fillId="43" borderId="17" xfId="0" applyNumberFormat="1" applyFont="1" applyFill="1" applyBorder="1" applyAlignment="1">
      <alignment wrapText="1"/>
    </xf>
    <xf numFmtId="3" fontId="5" fillId="43" borderId="17" xfId="0" applyNumberFormat="1" applyFont="1" applyFill="1" applyBorder="1" applyAlignment="1">
      <alignment horizontal="center" vertical="top"/>
    </xf>
    <xf numFmtId="165" fontId="5" fillId="43" borderId="17" xfId="0" applyNumberFormat="1" applyFont="1" applyFill="1" applyBorder="1" applyAlignment="1">
      <alignment horizontal="center" vertical="top"/>
    </xf>
    <xf numFmtId="49" fontId="5" fillId="43" borderId="17" xfId="0" applyNumberFormat="1" applyFont="1" applyFill="1" applyBorder="1" applyAlignment="1">
      <alignment horizontal="center" vertical="top"/>
    </xf>
    <xf numFmtId="165" fontId="5" fillId="38" borderId="17" xfId="0" applyNumberFormat="1" applyFont="1" applyFill="1" applyBorder="1" applyAlignment="1">
      <alignment wrapText="1"/>
    </xf>
    <xf numFmtId="165" fontId="5" fillId="38" borderId="17" xfId="0" applyNumberFormat="1" applyFont="1" applyFill="1" applyBorder="1" applyAlignment="1">
      <alignment horizontal="center" vertical="top"/>
    </xf>
    <xf numFmtId="3" fontId="5" fillId="38" borderId="17" xfId="0" applyNumberFormat="1" applyFont="1" applyFill="1" applyBorder="1" applyAlignment="1">
      <alignment horizontal="center" vertical="top"/>
    </xf>
    <xf numFmtId="49" fontId="5" fillId="38" borderId="17" xfId="0" applyNumberFormat="1" applyFont="1" applyFill="1" applyBorder="1" applyAlignment="1">
      <alignment horizontal="center" vertical="top"/>
    </xf>
    <xf numFmtId="9" fontId="5" fillId="0" borderId="17" xfId="0" applyNumberFormat="1" applyFont="1" applyFill="1" applyBorder="1" applyAlignment="1">
      <alignment horizontal="center" vertical="top"/>
    </xf>
    <xf numFmtId="0" fontId="5" fillId="38" borderId="132" xfId="0" applyFont="1" applyFill="1" applyBorder="1" applyAlignment="1"/>
    <xf numFmtId="3" fontId="15" fillId="38" borderId="149" xfId="0" applyNumberFormat="1" applyFont="1" applyFill="1" applyBorder="1" applyAlignment="1">
      <alignment horizontal="center"/>
    </xf>
    <xf numFmtId="44" fontId="5" fillId="54" borderId="0" xfId="0" applyNumberFormat="1" applyFont="1" applyFill="1" applyAlignment="1"/>
    <xf numFmtId="44" fontId="5" fillId="55" borderId="96" xfId="0" applyNumberFormat="1" applyFont="1" applyFill="1" applyBorder="1" applyAlignment="1"/>
    <xf numFmtId="44" fontId="5" fillId="55" borderId="0" xfId="0" applyNumberFormat="1" applyFont="1" applyFill="1" applyAlignment="1"/>
    <xf numFmtId="44" fontId="82" fillId="54" borderId="96" xfId="0" applyNumberFormat="1" applyFont="1" applyFill="1" applyBorder="1" applyAlignment="1">
      <alignment horizontal="right"/>
    </xf>
    <xf numFmtId="44" fontId="82" fillId="54" borderId="0" xfId="0" applyNumberFormat="1" applyFont="1" applyFill="1" applyAlignment="1">
      <alignment horizontal="right"/>
    </xf>
    <xf numFmtId="44" fontId="5" fillId="56" borderId="96" xfId="0" applyNumberFormat="1" applyFont="1" applyFill="1" applyBorder="1"/>
    <xf numFmtId="44" fontId="5" fillId="56" borderId="0" xfId="0" applyNumberFormat="1" applyFont="1" applyFill="1"/>
    <xf numFmtId="10" fontId="5" fillId="54" borderId="87" xfId="0" applyNumberFormat="1" applyFont="1" applyFill="1" applyBorder="1"/>
    <xf numFmtId="10" fontId="5" fillId="0" borderId="31" xfId="0" applyNumberFormat="1" applyFont="1" applyFill="1" applyBorder="1"/>
    <xf numFmtId="10" fontId="5" fillId="0" borderId="20" xfId="0" applyNumberFormat="1" applyFont="1" applyFill="1" applyBorder="1"/>
    <xf numFmtId="0" fontId="5" fillId="0" borderId="0" xfId="0" applyFont="1"/>
    <xf numFmtId="0" fontId="5" fillId="0" borderId="0" xfId="0" applyFont="1"/>
    <xf numFmtId="0" fontId="7" fillId="0" borderId="0" xfId="7" applyFont="1"/>
    <xf numFmtId="0" fontId="6" fillId="2" borderId="0" xfId="7" applyFont="1" applyFill="1" applyAlignment="1">
      <alignment wrapText="1"/>
    </xf>
    <xf numFmtId="0" fontId="5" fillId="0" borderId="0" xfId="7" applyFont="1" applyAlignment="1">
      <alignment horizontal="center"/>
    </xf>
    <xf numFmtId="0" fontId="10" fillId="0" borderId="0" xfId="7" applyFont="1" applyAlignment="1">
      <alignment horizontal="center"/>
    </xf>
    <xf numFmtId="0" fontId="9" fillId="0" borderId="0" xfId="7" applyFont="1" applyAlignment="1">
      <alignment horizontal="center"/>
    </xf>
    <xf numFmtId="10" fontId="5" fillId="0" borderId="0" xfId="7" applyNumberFormat="1" applyFont="1" applyAlignment="1">
      <alignment horizontal="center"/>
    </xf>
    <xf numFmtId="44" fontId="5" fillId="0" borderId="0" xfId="7" applyNumberFormat="1" applyFont="1" applyAlignment="1">
      <alignment horizontal="center"/>
    </xf>
    <xf numFmtId="164" fontId="5" fillId="0" borderId="0" xfId="7" applyNumberFormat="1" applyFont="1" applyAlignment="1">
      <alignment horizontal="center"/>
    </xf>
    <xf numFmtId="0" fontId="19" fillId="0" borderId="0" xfId="7"/>
    <xf numFmtId="0" fontId="11" fillId="0" borderId="0" xfId="7" applyFont="1"/>
    <xf numFmtId="3" fontId="12" fillId="0" borderId="0" xfId="7" applyNumberFormat="1" applyFont="1" applyAlignment="1">
      <alignment horizontal="center"/>
    </xf>
    <xf numFmtId="3" fontId="5" fillId="0" borderId="0" xfId="7" applyNumberFormat="1" applyFont="1" applyAlignment="1">
      <alignment horizontal="center"/>
    </xf>
    <xf numFmtId="10" fontId="12" fillId="0" borderId="0" xfId="7" applyNumberFormat="1" applyFont="1" applyAlignment="1">
      <alignment horizontal="center"/>
    </xf>
    <xf numFmtId="0" fontId="13" fillId="0" borderId="0" xfId="7" applyFont="1" applyAlignment="1">
      <alignment horizontal="center"/>
    </xf>
    <xf numFmtId="0" fontId="12" fillId="0" borderId="0" xfId="7" applyFont="1" applyAlignment="1">
      <alignment horizontal="center"/>
    </xf>
    <xf numFmtId="10" fontId="15" fillId="0" borderId="0" xfId="7" applyNumberFormat="1" applyFont="1" applyAlignment="1">
      <alignment horizontal="center"/>
    </xf>
    <xf numFmtId="0" fontId="107" fillId="0" borderId="0" xfId="7" applyFont="1" applyAlignment="1">
      <alignment horizontal="center"/>
    </xf>
    <xf numFmtId="0" fontId="15" fillId="0" borderId="0" xfId="7" applyFont="1" applyAlignment="1">
      <alignment horizontal="center"/>
    </xf>
    <xf numFmtId="0" fontId="14" fillId="0" borderId="0" xfId="7" applyFont="1" applyAlignment="1">
      <alignment horizontal="center"/>
    </xf>
    <xf numFmtId="0" fontId="14" fillId="0" borderId="0" xfId="7" applyFont="1"/>
    <xf numFmtId="164" fontId="17" fillId="0" borderId="0" xfId="7" applyNumberFormat="1" applyFont="1" applyAlignment="1">
      <alignment horizontal="center"/>
    </xf>
    <xf numFmtId="44" fontId="15" fillId="0" borderId="0" xfId="7" applyNumberFormat="1" applyFont="1" applyAlignment="1">
      <alignment horizontal="center"/>
    </xf>
    <xf numFmtId="164" fontId="15" fillId="0" borderId="0" xfId="7" applyNumberFormat="1" applyFont="1" applyAlignment="1">
      <alignment horizontal="center"/>
    </xf>
    <xf numFmtId="0" fontId="5" fillId="0" borderId="0" xfId="7" applyFont="1"/>
    <xf numFmtId="164" fontId="12" fillId="0" borderId="0" xfId="7" applyNumberFormat="1" applyFont="1" applyAlignment="1">
      <alignment horizontal="center"/>
    </xf>
    <xf numFmtId="0" fontId="12" fillId="0" borderId="0" xfId="7" applyFont="1" applyAlignment="1">
      <alignment horizontal="center" wrapText="1"/>
    </xf>
    <xf numFmtId="9" fontId="19" fillId="0" borderId="0" xfId="7" applyNumberFormat="1"/>
    <xf numFmtId="9" fontId="5" fillId="0" borderId="15" xfId="7" applyNumberFormat="1" applyFont="1" applyBorder="1" applyAlignment="1">
      <alignment horizontal="center"/>
    </xf>
    <xf numFmtId="0" fontId="15" fillId="0" borderId="13" xfId="7" applyFont="1" applyBorder="1" applyAlignment="1">
      <alignment horizontal="center"/>
    </xf>
    <xf numFmtId="0" fontId="15" fillId="0" borderId="15" xfId="7" applyFont="1" applyBorder="1" applyAlignment="1">
      <alignment horizontal="center"/>
    </xf>
    <xf numFmtId="167" fontId="5" fillId="0" borderId="14" xfId="7" applyNumberFormat="1" applyFont="1" applyBorder="1" applyAlignment="1">
      <alignment horizontal="center"/>
    </xf>
    <xf numFmtId="165" fontId="15" fillId="0" borderId="14" xfId="7" applyNumberFormat="1" applyFont="1" applyBorder="1" applyAlignment="1">
      <alignment horizontal="center"/>
    </xf>
    <xf numFmtId="9" fontId="5" fillId="0" borderId="11" xfId="7" applyNumberFormat="1" applyFont="1" applyBorder="1" applyAlignment="1">
      <alignment horizontal="center"/>
    </xf>
    <xf numFmtId="0" fontId="15" fillId="0" borderId="9" xfId="7" applyFont="1" applyBorder="1" applyAlignment="1">
      <alignment horizontal="center"/>
    </xf>
    <xf numFmtId="0" fontId="15" fillId="0" borderId="11" xfId="7" applyFont="1" applyBorder="1" applyAlignment="1">
      <alignment horizontal="center"/>
    </xf>
    <xf numFmtId="167" fontId="5" fillId="0" borderId="0" xfId="7" applyNumberFormat="1" applyFont="1" applyAlignment="1">
      <alignment horizontal="center"/>
    </xf>
    <xf numFmtId="0" fontId="15" fillId="0" borderId="8" xfId="7" applyFont="1" applyBorder="1" applyAlignment="1">
      <alignment horizontal="center"/>
    </xf>
    <xf numFmtId="0" fontId="15" fillId="0" borderId="10" xfId="7" applyFont="1" applyBorder="1" applyAlignment="1">
      <alignment horizontal="center"/>
    </xf>
    <xf numFmtId="0" fontId="12" fillId="3" borderId="7" xfId="7" applyFont="1" applyFill="1" applyBorder="1" applyAlignment="1">
      <alignment horizontal="center" wrapText="1"/>
    </xf>
    <xf numFmtId="0" fontId="12" fillId="3" borderId="4" xfId="7" applyFont="1" applyFill="1" applyBorder="1" applyAlignment="1">
      <alignment horizontal="center" wrapText="1"/>
    </xf>
    <xf numFmtId="10" fontId="12" fillId="3" borderId="5" xfId="7" applyNumberFormat="1" applyFont="1" applyFill="1" applyBorder="1" applyAlignment="1">
      <alignment horizontal="center" wrapText="1"/>
    </xf>
    <xf numFmtId="0" fontId="12" fillId="3" borderId="6" xfId="7" applyFont="1" applyFill="1" applyBorder="1" applyAlignment="1">
      <alignment horizontal="center" wrapText="1"/>
    </xf>
    <xf numFmtId="0" fontId="5" fillId="3" borderId="6" xfId="7" applyFont="1" applyFill="1" applyBorder="1" applyAlignment="1">
      <alignment horizontal="center" wrapText="1"/>
    </xf>
    <xf numFmtId="0" fontId="12" fillId="3" borderId="5" xfId="7" applyFont="1" applyFill="1" applyBorder="1" applyAlignment="1">
      <alignment horizontal="center"/>
    </xf>
    <xf numFmtId="0" fontId="3" fillId="0" borderId="2" xfId="7" applyFont="1" applyBorder="1" applyAlignment="1">
      <alignment horizontal="center"/>
    </xf>
    <xf numFmtId="0" fontId="6" fillId="2" borderId="1" xfId="7" applyFont="1" applyFill="1" applyBorder="1" applyAlignment="1">
      <alignment wrapText="1"/>
    </xf>
    <xf numFmtId="167" fontId="5" fillId="0" borderId="0" xfId="9" applyNumberFormat="1" applyFont="1"/>
    <xf numFmtId="10" fontId="12" fillId="0" borderId="0" xfId="7" applyNumberFormat="1" applyFont="1" applyAlignment="1">
      <alignment horizontal="right"/>
    </xf>
    <xf numFmtId="165" fontId="12" fillId="0" borderId="0" xfId="7" applyNumberFormat="1" applyFont="1" applyAlignment="1">
      <alignment horizontal="right"/>
    </xf>
    <xf numFmtId="0" fontId="15" fillId="0" borderId="0" xfId="7" applyFont="1"/>
    <xf numFmtId="0" fontId="12" fillId="59" borderId="0" xfId="7" applyFont="1" applyFill="1" applyAlignment="1">
      <alignment horizontal="center"/>
    </xf>
    <xf numFmtId="167" fontId="12" fillId="0" borderId="0" xfId="9" applyNumberFormat="1" applyFont="1" applyAlignment="1"/>
    <xf numFmtId="2" fontId="12" fillId="0" borderId="0" xfId="7" applyNumberFormat="1" applyFont="1" applyAlignment="1">
      <alignment horizontal="center"/>
    </xf>
    <xf numFmtId="0" fontId="11" fillId="0" borderId="0" xfId="7" applyFont="1" applyAlignment="1">
      <alignment horizontal="center"/>
    </xf>
    <xf numFmtId="0" fontId="12" fillId="0" borderId="0" xfId="7" applyFont="1"/>
    <xf numFmtId="0" fontId="12" fillId="0" borderId="0" xfId="7" applyFont="1" applyAlignment="1">
      <alignment horizontal="right"/>
    </xf>
    <xf numFmtId="0" fontId="12" fillId="60" borderId="0" xfId="7" applyFont="1" applyFill="1" applyAlignment="1">
      <alignment horizontal="center"/>
    </xf>
    <xf numFmtId="166" fontId="12" fillId="2" borderId="0" xfId="7" applyNumberFormat="1" applyFont="1" applyFill="1" applyAlignment="1">
      <alignment horizontal="center"/>
    </xf>
    <xf numFmtId="0" fontId="12" fillId="2" borderId="0" xfId="7" applyFont="1" applyFill="1" applyAlignment="1">
      <alignment horizontal="center"/>
    </xf>
    <xf numFmtId="0" fontId="12" fillId="0" borderId="0" xfId="7" applyFont="1" applyAlignment="1">
      <alignment horizontal="left"/>
    </xf>
    <xf numFmtId="0" fontId="110" fillId="2" borderId="0" xfId="7" applyFont="1" applyFill="1" applyAlignment="1">
      <alignment wrapText="1"/>
    </xf>
    <xf numFmtId="0" fontId="17" fillId="0" borderId="0" xfId="7" applyFont="1" applyAlignment="1">
      <alignment horizontal="right"/>
    </xf>
    <xf numFmtId="164" fontId="5" fillId="0" borderId="0" xfId="7" applyNumberFormat="1" applyFont="1" applyAlignment="1">
      <alignment horizontal="right"/>
    </xf>
    <xf numFmtId="164" fontId="11" fillId="0" borderId="0" xfId="7" applyNumberFormat="1" applyFont="1" applyAlignment="1">
      <alignment horizontal="right"/>
    </xf>
    <xf numFmtId="2" fontId="12" fillId="0" borderId="205" xfId="7" applyNumberFormat="1" applyFont="1" applyBorder="1"/>
    <xf numFmtId="0" fontId="12" fillId="0" borderId="204" xfId="7" applyFont="1" applyBorder="1"/>
    <xf numFmtId="2" fontId="12" fillId="0" borderId="203" xfId="7" applyNumberFormat="1" applyFont="1" applyBorder="1"/>
    <xf numFmtId="0" fontId="12" fillId="0" borderId="126" xfId="7" applyFont="1" applyBorder="1"/>
    <xf numFmtId="44" fontId="12" fillId="0" borderId="200" xfId="7" applyNumberFormat="1" applyFont="1" applyBorder="1"/>
    <xf numFmtId="44" fontId="12" fillId="0" borderId="199" xfId="7" applyNumberFormat="1" applyFont="1" applyBorder="1"/>
    <xf numFmtId="44" fontId="12" fillId="0" borderId="176" xfId="7" applyNumberFormat="1" applyFont="1" applyBorder="1"/>
    <xf numFmtId="0" fontId="5" fillId="0" borderId="124" xfId="7" applyFont="1" applyBorder="1"/>
    <xf numFmtId="0" fontId="12" fillId="0" borderId="127" xfId="7" applyFont="1" applyBorder="1" applyAlignment="1">
      <alignment wrapText="1"/>
    </xf>
    <xf numFmtId="0" fontId="99" fillId="0" borderId="131" xfId="1" applyFont="1" applyBorder="1" applyAlignment="1">
      <alignment wrapText="1"/>
    </xf>
    <xf numFmtId="0" fontId="12" fillId="0" borderId="135" xfId="7" applyFont="1" applyBorder="1"/>
    <xf numFmtId="44" fontId="12" fillId="0" borderId="223" xfId="9" applyFont="1" applyBorder="1"/>
    <xf numFmtId="44" fontId="5" fillId="43" borderId="21" xfId="9" applyFont="1" applyFill="1" applyBorder="1" applyAlignment="1">
      <alignment horizontal="right"/>
    </xf>
    <xf numFmtId="44" fontId="12" fillId="0" borderId="143" xfId="9" applyFont="1" applyBorder="1"/>
    <xf numFmtId="0" fontId="12" fillId="0" borderId="121" xfId="7" applyFont="1" applyBorder="1" applyAlignment="1">
      <alignment wrapText="1"/>
    </xf>
    <xf numFmtId="0" fontId="99" fillId="0" borderId="0" xfId="1" applyFont="1" applyBorder="1" applyAlignment="1">
      <alignment wrapText="1"/>
    </xf>
    <xf numFmtId="0" fontId="12" fillId="0" borderId="134" xfId="7" applyFont="1" applyBorder="1"/>
    <xf numFmtId="44" fontId="12" fillId="0" borderId="202" xfId="9" applyFont="1" applyBorder="1"/>
    <xf numFmtId="44" fontId="5" fillId="43" borderId="17" xfId="9" applyFont="1" applyFill="1" applyBorder="1" applyAlignment="1">
      <alignment horizontal="right"/>
    </xf>
    <xf numFmtId="44" fontId="12" fillId="0" borderId="206" xfId="9" applyFont="1" applyBorder="1"/>
    <xf numFmtId="0" fontId="99" fillId="0" borderId="121" xfId="1" applyFont="1" applyBorder="1" applyAlignment="1">
      <alignment wrapText="1"/>
    </xf>
    <xf numFmtId="42" fontId="12" fillId="0" borderId="0" xfId="9" applyNumberFormat="1" applyFont="1" applyAlignment="1"/>
    <xf numFmtId="42" fontId="5" fillId="0" borderId="0" xfId="9" applyNumberFormat="1" applyFont="1" applyAlignment="1"/>
    <xf numFmtId="44" fontId="11" fillId="43" borderId="17" xfId="9" applyFont="1" applyFill="1" applyBorder="1" applyAlignment="1">
      <alignment horizontal="right"/>
    </xf>
    <xf numFmtId="0" fontId="11" fillId="0" borderId="209" xfId="7" applyFont="1" applyBorder="1"/>
    <xf numFmtId="0" fontId="12" fillId="62" borderId="0" xfId="7" applyFont="1" applyFill="1" applyAlignment="1">
      <alignment horizontal="center"/>
    </xf>
    <xf numFmtId="2" fontId="12" fillId="2" borderId="0" xfId="7" applyNumberFormat="1" applyFont="1" applyFill="1" applyAlignment="1">
      <alignment horizontal="center"/>
    </xf>
    <xf numFmtId="44" fontId="12" fillId="0" borderId="216" xfId="9" applyFont="1" applyBorder="1"/>
    <xf numFmtId="44" fontId="12" fillId="0" borderId="152" xfId="9" applyFont="1" applyBorder="1"/>
    <xf numFmtId="0" fontId="11" fillId="0" borderId="240" xfId="7" applyFont="1" applyBorder="1"/>
    <xf numFmtId="0" fontId="12" fillId="52" borderId="123" xfId="7" applyFont="1" applyFill="1" applyBorder="1"/>
    <xf numFmtId="0" fontId="17" fillId="52" borderId="132" xfId="7" applyFont="1" applyFill="1" applyBorder="1"/>
    <xf numFmtId="0" fontId="17" fillId="52" borderId="117" xfId="7" applyFont="1" applyFill="1" applyBorder="1"/>
    <xf numFmtId="0" fontId="17" fillId="52" borderId="219" xfId="7" applyFont="1" applyFill="1" applyBorder="1"/>
    <xf numFmtId="0" fontId="17" fillId="52" borderId="218" xfId="7" applyFont="1" applyFill="1" applyBorder="1"/>
    <xf numFmtId="0" fontId="17" fillId="52" borderId="241" xfId="7" applyFont="1" applyFill="1" applyBorder="1"/>
    <xf numFmtId="0" fontId="12" fillId="52" borderId="117" xfId="7" applyFont="1" applyFill="1" applyBorder="1"/>
    <xf numFmtId="0" fontId="17" fillId="0" borderId="0" xfId="7" applyFont="1"/>
    <xf numFmtId="167" fontId="5" fillId="0" borderId="0" xfId="9" applyNumberFormat="1" applyFont="1" applyAlignment="1"/>
    <xf numFmtId="0" fontId="34" fillId="0" borderId="0" xfId="7" applyFont="1" applyAlignment="1">
      <alignment horizontal="center"/>
    </xf>
    <xf numFmtId="165" fontId="15" fillId="38" borderId="0" xfId="7" applyNumberFormat="1" applyFont="1" applyFill="1" applyAlignment="1">
      <alignment horizontal="center"/>
    </xf>
    <xf numFmtId="165" fontId="15" fillId="43" borderId="0" xfId="7" applyNumberFormat="1" applyFont="1" applyFill="1" applyAlignment="1">
      <alignment horizontal="center"/>
    </xf>
    <xf numFmtId="3" fontId="15" fillId="38" borderId="0" xfId="7" applyNumberFormat="1" applyFont="1" applyFill="1" applyAlignment="1">
      <alignment horizontal="center"/>
    </xf>
    <xf numFmtId="3" fontId="15" fillId="43" borderId="0" xfId="8" applyNumberFormat="1" applyFont="1" applyFill="1" applyAlignment="1">
      <alignment horizontal="center"/>
    </xf>
    <xf numFmtId="10" fontId="15" fillId="38" borderId="0" xfId="7" applyNumberFormat="1" applyFont="1" applyFill="1" applyAlignment="1">
      <alignment horizontal="center"/>
    </xf>
    <xf numFmtId="10" fontId="15" fillId="43" borderId="0" xfId="7" applyNumberFormat="1" applyFont="1" applyFill="1" applyAlignment="1">
      <alignment horizontal="center"/>
    </xf>
    <xf numFmtId="10" fontId="12" fillId="38" borderId="0" xfId="7" applyNumberFormat="1" applyFont="1" applyFill="1" applyAlignment="1">
      <alignment horizontal="center"/>
    </xf>
    <xf numFmtId="165" fontId="12" fillId="43" borderId="0" xfId="7" applyNumberFormat="1" applyFont="1" applyFill="1" applyAlignment="1">
      <alignment horizontal="center"/>
    </xf>
    <xf numFmtId="165" fontId="12" fillId="38" borderId="0" xfId="7" applyNumberFormat="1" applyFont="1" applyFill="1" applyAlignment="1">
      <alignment horizontal="center"/>
    </xf>
    <xf numFmtId="9" fontId="12" fillId="43" borderId="0" xfId="7" applyNumberFormat="1" applyFont="1" applyFill="1" applyAlignment="1">
      <alignment horizontal="center"/>
    </xf>
    <xf numFmtId="165" fontId="15" fillId="38" borderId="14" xfId="7" applyNumberFormat="1" applyFont="1" applyFill="1" applyBorder="1" applyAlignment="1">
      <alignment horizontal="center"/>
    </xf>
    <xf numFmtId="165" fontId="15" fillId="43" borderId="14" xfId="7" applyNumberFormat="1" applyFont="1" applyFill="1" applyBorder="1" applyAlignment="1">
      <alignment horizontal="center"/>
    </xf>
    <xf numFmtId="167" fontId="8" fillId="43" borderId="0" xfId="7" applyNumberFormat="1" applyFont="1" applyFill="1" applyAlignment="1">
      <alignment horizontal="center"/>
    </xf>
    <xf numFmtId="9" fontId="5" fillId="0" borderId="0" xfId="0" applyNumberFormat="1" applyFont="1"/>
    <xf numFmtId="10" fontId="5" fillId="0" borderId="18" xfId="0" applyNumberFormat="1" applyFont="1" applyBorder="1" applyAlignment="1">
      <alignment horizontal="center"/>
    </xf>
    <xf numFmtId="10" fontId="21" fillId="0" borderId="0" xfId="0" applyNumberFormat="1" applyFont="1" applyBorder="1" applyAlignment="1">
      <alignment horizontal="center"/>
    </xf>
    <xf numFmtId="3" fontId="11" fillId="14" borderId="242" xfId="0" applyNumberFormat="1" applyFont="1" applyFill="1" applyBorder="1" applyAlignment="1">
      <alignment horizontal="center"/>
    </xf>
    <xf numFmtId="10" fontId="21" fillId="0" borderId="243" xfId="0" applyNumberFormat="1" applyFont="1" applyBorder="1" applyAlignment="1">
      <alignment horizontal="center"/>
    </xf>
    <xf numFmtId="0" fontId="5" fillId="0" borderId="0" xfId="0" applyFont="1"/>
    <xf numFmtId="44" fontId="5" fillId="0" borderId="210" xfId="7" applyNumberFormat="1" applyFont="1" applyBorder="1"/>
    <xf numFmtId="44" fontId="5" fillId="0" borderId="209" xfId="7" applyNumberFormat="1" applyFont="1" applyBorder="1"/>
    <xf numFmtId="3" fontId="5" fillId="0" borderId="208" xfId="7" applyNumberFormat="1" applyFont="1" applyBorder="1"/>
    <xf numFmtId="1" fontId="45" fillId="0" borderId="0" xfId="7" applyNumberFormat="1" applyFont="1" applyAlignment="1">
      <alignment horizontal="right"/>
    </xf>
    <xf numFmtId="0" fontId="45" fillId="0" borderId="0" xfId="7" applyFont="1"/>
    <xf numFmtId="174" fontId="5" fillId="0" borderId="209" xfId="7" applyNumberFormat="1" applyFont="1" applyBorder="1"/>
    <xf numFmtId="3" fontId="45" fillId="0" borderId="0" xfId="7" applyNumberFormat="1" applyFont="1" applyAlignment="1">
      <alignment horizontal="right"/>
    </xf>
    <xf numFmtId="10" fontId="45" fillId="0" borderId="0" xfId="7" applyNumberFormat="1" applyFont="1" applyAlignment="1">
      <alignment horizontal="right"/>
    </xf>
    <xf numFmtId="0" fontId="45" fillId="0" borderId="0" xfId="7" applyFont="1" applyAlignment="1">
      <alignment horizontal="right"/>
    </xf>
    <xf numFmtId="10" fontId="45" fillId="0" borderId="0" xfId="7" applyNumberFormat="1" applyFont="1"/>
    <xf numFmtId="0" fontId="6" fillId="2" borderId="0" xfId="7" applyFont="1" applyFill="1" applyAlignment="1">
      <alignment horizontal="center"/>
    </xf>
    <xf numFmtId="0" fontId="12" fillId="0" borderId="127" xfId="7" applyFont="1" applyBorder="1"/>
    <xf numFmtId="0" fontId="12" fillId="0" borderId="131" xfId="7" applyFont="1" applyBorder="1"/>
    <xf numFmtId="0" fontId="12" fillId="0" borderId="125" xfId="7" applyFont="1" applyBorder="1"/>
    <xf numFmtId="0" fontId="12" fillId="0" borderId="130" xfId="7" applyFont="1" applyBorder="1"/>
    <xf numFmtId="0" fontId="12" fillId="0" borderId="124" xfId="7" applyFont="1" applyBorder="1"/>
    <xf numFmtId="0" fontId="12" fillId="0" borderId="125" xfId="7" applyFont="1" applyBorder="1" applyAlignment="1">
      <alignment horizontal="left"/>
    </xf>
    <xf numFmtId="0" fontId="12" fillId="0" borderId="130" xfId="7" applyFont="1" applyBorder="1" applyAlignment="1">
      <alignment horizontal="left"/>
    </xf>
    <xf numFmtId="3" fontId="12" fillId="0" borderId="202" xfId="7" applyNumberFormat="1" applyFont="1" applyBorder="1"/>
    <xf numFmtId="3" fontId="12" fillId="0" borderId="201" xfId="7" applyNumberFormat="1" applyFont="1" applyBorder="1"/>
    <xf numFmtId="0" fontId="12" fillId="0" borderId="202" xfId="7" applyFont="1" applyBorder="1"/>
    <xf numFmtId="0" fontId="12" fillId="0" borderId="201" xfId="7" applyFont="1" applyBorder="1"/>
    <xf numFmtId="0" fontId="12" fillId="0" borderId="153" xfId="7" applyFont="1" applyBorder="1"/>
    <xf numFmtId="3" fontId="12" fillId="0" borderId="216" xfId="7" applyNumberFormat="1" applyFont="1" applyBorder="1"/>
    <xf numFmtId="3" fontId="12" fillId="0" borderId="214" xfId="7" applyNumberFormat="1" applyFont="1" applyBorder="1"/>
    <xf numFmtId="0" fontId="12" fillId="0" borderId="216" xfId="7" applyFont="1" applyBorder="1"/>
    <xf numFmtId="0" fontId="12" fillId="0" borderId="214" xfId="7" applyFont="1" applyBorder="1"/>
    <xf numFmtId="0" fontId="12" fillId="0" borderId="215" xfId="7" applyFont="1" applyBorder="1"/>
    <xf numFmtId="0" fontId="12" fillId="0" borderId="221" xfId="7" applyFont="1" applyBorder="1"/>
    <xf numFmtId="0" fontId="12" fillId="0" borderId="222" xfId="7" applyFont="1" applyBorder="1"/>
    <xf numFmtId="0" fontId="12" fillId="0" borderId="223" xfId="7" applyFont="1" applyBorder="1"/>
    <xf numFmtId="3" fontId="12" fillId="0" borderId="223" xfId="7" applyNumberFormat="1" applyFont="1" applyBorder="1"/>
    <xf numFmtId="0" fontId="17" fillId="45" borderId="217" xfId="7" applyFont="1" applyFill="1" applyBorder="1"/>
    <xf numFmtId="0" fontId="17" fillId="4" borderId="132" xfId="7" applyFont="1" applyFill="1" applyBorder="1" applyAlignment="1">
      <alignment horizontal="center"/>
    </xf>
    <xf numFmtId="0" fontId="5" fillId="0" borderId="0" xfId="7" applyFont="1"/>
    <xf numFmtId="0" fontId="19" fillId="0" borderId="0" xfId="7"/>
    <xf numFmtId="0" fontId="11" fillId="0" borderId="0" xfId="7" applyFont="1"/>
    <xf numFmtId="0" fontId="12" fillId="0" borderId="0" xfId="7" applyFont="1"/>
    <xf numFmtId="0" fontId="12" fillId="23" borderId="217" xfId="7" applyFont="1" applyFill="1" applyBorder="1"/>
    <xf numFmtId="0" fontId="12" fillId="23" borderId="218" xfId="7" applyFont="1" applyFill="1" applyBorder="1"/>
    <xf numFmtId="5" fontId="15" fillId="43" borderId="0" xfId="7" applyNumberFormat="1" applyFont="1" applyFill="1" applyAlignment="1">
      <alignment horizontal="center"/>
    </xf>
    <xf numFmtId="0" fontId="11" fillId="3" borderId="137" xfId="7" applyFont="1" applyFill="1" applyBorder="1" applyAlignment="1"/>
    <xf numFmtId="0" fontId="5" fillId="4" borderId="138" xfId="7" applyFont="1" applyFill="1" applyBorder="1" applyAlignment="1"/>
    <xf numFmtId="0" fontId="5" fillId="4" borderId="134" xfId="7" applyFont="1" applyFill="1" applyBorder="1" applyAlignment="1"/>
    <xf numFmtId="0" fontId="5" fillId="2" borderId="134" xfId="7" applyFont="1" applyFill="1" applyBorder="1" applyAlignment="1"/>
    <xf numFmtId="0" fontId="5" fillId="57" borderId="135" xfId="7" applyFont="1" applyFill="1" applyBorder="1" applyAlignment="1"/>
    <xf numFmtId="0" fontId="19" fillId="0" borderId="0" xfId="7" applyBorder="1"/>
    <xf numFmtId="0" fontId="17" fillId="0" borderId="124" xfId="7" applyFont="1" applyBorder="1"/>
    <xf numFmtId="0" fontId="17" fillId="0" borderId="125" xfId="7" applyFont="1" applyBorder="1"/>
    <xf numFmtId="0" fontId="12" fillId="0" borderId="0" xfId="7" applyFont="1" applyBorder="1"/>
    <xf numFmtId="9" fontId="12" fillId="0" borderId="153" xfId="7" applyNumberFormat="1" applyFont="1" applyBorder="1"/>
    <xf numFmtId="9" fontId="12" fillId="0" borderId="215" xfId="7" applyNumberFormat="1" applyFont="1" applyBorder="1"/>
    <xf numFmtId="9" fontId="17" fillId="0" borderId="218" xfId="7" applyNumberFormat="1" applyFont="1" applyBorder="1"/>
    <xf numFmtId="9" fontId="17" fillId="0" borderId="219" xfId="7" applyNumberFormat="1" applyFont="1" applyBorder="1"/>
    <xf numFmtId="9" fontId="12" fillId="0" borderId="216" xfId="7" applyNumberFormat="1" applyFont="1" applyBorder="1"/>
    <xf numFmtId="9" fontId="12" fillId="0" borderId="202" xfId="7" applyNumberFormat="1" applyFont="1" applyBorder="1"/>
    <xf numFmtId="0" fontId="12" fillId="0" borderId="245" xfId="7" applyFont="1" applyBorder="1"/>
    <xf numFmtId="0" fontId="17" fillId="0" borderId="122" xfId="7" applyFont="1" applyBorder="1" applyAlignment="1"/>
    <xf numFmtId="9" fontId="12" fillId="0" borderId="152" xfId="7" applyNumberFormat="1" applyFont="1" applyBorder="1"/>
    <xf numFmtId="9" fontId="12" fillId="0" borderId="206" xfId="7" applyNumberFormat="1" applyFont="1" applyBorder="1"/>
    <xf numFmtId="9" fontId="17" fillId="0" borderId="241" xfId="7" applyNumberFormat="1" applyFont="1" applyBorder="1"/>
    <xf numFmtId="9" fontId="12" fillId="0" borderId="240" xfId="7" applyNumberFormat="1" applyFont="1" applyBorder="1"/>
    <xf numFmtId="9" fontId="12" fillId="0" borderId="209" xfId="7" applyNumberFormat="1" applyFont="1" applyBorder="1"/>
    <xf numFmtId="0" fontId="12" fillId="0" borderId="246" xfId="7" applyFont="1" applyBorder="1"/>
    <xf numFmtId="0" fontId="17" fillId="0" borderId="117" xfId="7" applyFont="1" applyBorder="1"/>
    <xf numFmtId="0" fontId="12" fillId="0" borderId="199" xfId="7" applyFont="1" applyBorder="1"/>
    <xf numFmtId="0" fontId="12" fillId="0" borderId="200" xfId="7" applyFont="1" applyBorder="1"/>
    <xf numFmtId="0" fontId="17" fillId="23" borderId="219" xfId="7" applyFont="1" applyFill="1" applyBorder="1" applyAlignment="1">
      <alignment horizontal="center"/>
    </xf>
    <xf numFmtId="0" fontId="17" fillId="23" borderId="217" xfId="7" applyFont="1" applyFill="1" applyBorder="1" applyAlignment="1">
      <alignment horizontal="center"/>
    </xf>
    <xf numFmtId="0" fontId="17" fillId="0" borderId="214" xfId="7" applyFont="1" applyBorder="1"/>
    <xf numFmtId="0" fontId="17" fillId="0" borderId="201" xfId="7" applyFont="1" applyBorder="1"/>
    <xf numFmtId="0" fontId="17" fillId="0" borderId="185" xfId="7" applyFont="1" applyBorder="1"/>
    <xf numFmtId="0" fontId="17" fillId="0" borderId="211" xfId="7" applyFont="1" applyBorder="1"/>
    <xf numFmtId="0" fontId="12" fillId="0" borderId="149" xfId="7" applyFont="1" applyBorder="1"/>
    <xf numFmtId="0" fontId="12" fillId="0" borderId="206" xfId="7" applyFont="1" applyBorder="1"/>
    <xf numFmtId="0" fontId="12" fillId="0" borderId="152" xfId="7" applyFont="1" applyBorder="1"/>
    <xf numFmtId="9" fontId="17" fillId="0" borderId="207" xfId="7" applyNumberFormat="1" applyFont="1" applyBorder="1"/>
    <xf numFmtId="9" fontId="17" fillId="0" borderId="204" xfId="7" applyNumberFormat="1" applyFont="1" applyBorder="1"/>
    <xf numFmtId="9" fontId="17" fillId="0" borderId="205" xfId="7" applyNumberFormat="1" applyFont="1" applyBorder="1"/>
    <xf numFmtId="0" fontId="17" fillId="23" borderId="122" xfId="7" applyFont="1" applyFill="1" applyBorder="1" applyAlignment="1">
      <alignment horizontal="center"/>
    </xf>
    <xf numFmtId="0" fontId="17" fillId="23" borderId="117" xfId="7" applyFont="1" applyFill="1" applyBorder="1" applyAlignment="1">
      <alignment horizontal="center"/>
    </xf>
    <xf numFmtId="0" fontId="17" fillId="23" borderId="241" xfId="7" applyFont="1" applyFill="1" applyBorder="1" applyAlignment="1">
      <alignment horizontal="center"/>
    </xf>
    <xf numFmtId="0" fontId="17" fillId="23" borderId="218" xfId="7" applyFont="1" applyFill="1" applyBorder="1" applyAlignment="1">
      <alignment horizontal="center"/>
    </xf>
    <xf numFmtId="2" fontId="12" fillId="0" borderId="143" xfId="7" applyNumberFormat="1" applyFont="1" applyBorder="1"/>
    <xf numFmtId="2" fontId="12" fillId="0" borderId="222" xfId="7" applyNumberFormat="1" applyFont="1" applyBorder="1"/>
    <xf numFmtId="2" fontId="12" fillId="0" borderId="223" xfId="7" applyNumberFormat="1" applyFont="1" applyBorder="1"/>
    <xf numFmtId="2" fontId="12" fillId="0" borderId="206" xfId="7" applyNumberFormat="1" applyFont="1" applyBorder="1"/>
    <xf numFmtId="2" fontId="12" fillId="0" borderId="153" xfId="7" applyNumberFormat="1" applyFont="1" applyBorder="1"/>
    <xf numFmtId="2" fontId="12" fillId="0" borderId="202" xfId="7" applyNumberFormat="1" applyFont="1" applyBorder="1"/>
    <xf numFmtId="0" fontId="5" fillId="0" borderId="0" xfId="0" applyFont="1"/>
    <xf numFmtId="0" fontId="0" fillId="0" borderId="0" xfId="0" applyFont="1" applyAlignment="1"/>
    <xf numFmtId="42" fontId="5" fillId="0" borderId="0" xfId="0" applyNumberFormat="1" applyFont="1" applyAlignment="1"/>
    <xf numFmtId="42" fontId="5" fillId="0" borderId="0" xfId="0" applyNumberFormat="1" applyFont="1"/>
    <xf numFmtId="42" fontId="5" fillId="0" borderId="24" xfId="0" applyNumberFormat="1" applyFont="1" applyBorder="1" applyAlignment="1"/>
    <xf numFmtId="42" fontId="5" fillId="0" borderId="25" xfId="0" applyNumberFormat="1" applyFont="1" applyBorder="1" applyAlignment="1"/>
    <xf numFmtId="42" fontId="5" fillId="0" borderId="0" xfId="0" applyNumberFormat="1" applyFont="1" applyAlignment="1">
      <alignment horizontal="right"/>
    </xf>
    <xf numFmtId="42" fontId="5" fillId="0" borderId="20" xfId="0" applyNumberFormat="1" applyFont="1" applyBorder="1" applyAlignment="1"/>
    <xf numFmtId="42" fontId="5" fillId="0" borderId="17" xfId="0" applyNumberFormat="1" applyFont="1" applyBorder="1"/>
    <xf numFmtId="42" fontId="5" fillId="0" borderId="34" xfId="0" applyNumberFormat="1" applyFont="1" applyBorder="1"/>
    <xf numFmtId="42" fontId="5" fillId="0" borderId="36" xfId="0" applyNumberFormat="1" applyFont="1" applyBorder="1" applyAlignment="1"/>
    <xf numFmtId="42" fontId="5" fillId="0" borderId="37" xfId="0" applyNumberFormat="1" applyFont="1" applyBorder="1"/>
    <xf numFmtId="42" fontId="5" fillId="0" borderId="38" xfId="0" applyNumberFormat="1" applyFont="1" applyBorder="1"/>
    <xf numFmtId="42" fontId="11" fillId="0" borderId="39" xfId="0" applyNumberFormat="1" applyFont="1" applyBorder="1" applyAlignment="1"/>
    <xf numFmtId="42" fontId="11" fillId="0" borderId="40" xfId="0" applyNumberFormat="1" applyFont="1" applyBorder="1"/>
    <xf numFmtId="42" fontId="11" fillId="0" borderId="41" xfId="0" applyNumberFormat="1" applyFont="1" applyBorder="1"/>
    <xf numFmtId="42" fontId="5" fillId="3" borderId="6" xfId="0" applyNumberFormat="1" applyFont="1" applyFill="1" applyBorder="1" applyAlignment="1"/>
    <xf numFmtId="42" fontId="5" fillId="3" borderId="28" xfId="0" applyNumberFormat="1" applyFont="1" applyFill="1" applyBorder="1" applyAlignment="1"/>
    <xf numFmtId="42" fontId="5" fillId="3" borderId="29" xfId="0" applyNumberFormat="1" applyFont="1" applyFill="1" applyBorder="1" applyAlignment="1"/>
    <xf numFmtId="42" fontId="5" fillId="0" borderId="31" xfId="0" applyNumberFormat="1" applyFont="1" applyBorder="1"/>
    <xf numFmtId="42" fontId="5" fillId="0" borderId="22" xfId="0" applyNumberFormat="1" applyFont="1" applyBorder="1"/>
    <xf numFmtId="42" fontId="5" fillId="0" borderId="32" xfId="0" applyNumberFormat="1" applyFont="1" applyBorder="1"/>
    <xf numFmtId="42" fontId="5" fillId="0" borderId="20" xfId="0" applyNumberFormat="1" applyFont="1" applyBorder="1"/>
    <xf numFmtId="42" fontId="5" fillId="0" borderId="17" xfId="0" applyNumberFormat="1" applyFont="1" applyBorder="1" applyAlignment="1"/>
    <xf numFmtId="42" fontId="5" fillId="0" borderId="34" xfId="0" applyNumberFormat="1" applyFont="1" applyBorder="1" applyAlignment="1"/>
    <xf numFmtId="42" fontId="5" fillId="0" borderId="37" xfId="0" applyNumberFormat="1" applyFont="1" applyBorder="1" applyAlignment="1"/>
    <xf numFmtId="42" fontId="5" fillId="0" borderId="38" xfId="0" applyNumberFormat="1" applyFont="1" applyBorder="1" applyAlignment="1"/>
    <xf numFmtId="42" fontId="11" fillId="0" borderId="40" xfId="0" applyNumberFormat="1" applyFont="1" applyBorder="1" applyAlignment="1"/>
    <xf numFmtId="42" fontId="11" fillId="0" borderId="41" xfId="0" applyNumberFormat="1" applyFont="1" applyBorder="1" applyAlignment="1"/>
    <xf numFmtId="5" fontId="34" fillId="0" borderId="0" xfId="0" applyNumberFormat="1" applyFont="1" applyBorder="1" applyAlignment="1">
      <alignment horizontal="center"/>
    </xf>
    <xf numFmtId="5" fontId="34" fillId="0" borderId="121" xfId="0" applyNumberFormat="1" applyFont="1" applyBorder="1" applyAlignment="1">
      <alignment horizontal="center"/>
    </xf>
    <xf numFmtId="42" fontId="11" fillId="0" borderId="84" xfId="0" applyNumberFormat="1" applyFont="1" applyBorder="1" applyAlignment="1">
      <alignment horizontal="center"/>
    </xf>
    <xf numFmtId="42" fontId="11" fillId="0" borderId="85" xfId="0" applyNumberFormat="1" applyFont="1" applyBorder="1" applyAlignment="1">
      <alignment horizontal="center"/>
    </xf>
    <xf numFmtId="42" fontId="5" fillId="0" borderId="214" xfId="0" applyNumberFormat="1" applyFont="1" applyBorder="1" applyAlignment="1">
      <alignment horizontal="center"/>
    </xf>
    <xf numFmtId="42" fontId="5" fillId="38" borderId="215" xfId="0" applyNumberFormat="1" applyFont="1" applyFill="1" applyBorder="1" applyAlignment="1">
      <alignment horizontal="center"/>
    </xf>
    <xf numFmtId="42" fontId="5" fillId="0" borderId="215" xfId="0" applyNumberFormat="1" applyFont="1" applyBorder="1" applyAlignment="1">
      <alignment horizontal="center"/>
    </xf>
    <xf numFmtId="42" fontId="5" fillId="0" borderId="216" xfId="0" applyNumberFormat="1" applyFont="1" applyBorder="1" applyAlignment="1">
      <alignment horizontal="center"/>
    </xf>
    <xf numFmtId="42" fontId="5" fillId="50" borderId="201" xfId="0" applyNumberFormat="1" applyFont="1" applyFill="1" applyBorder="1" applyAlignment="1">
      <alignment horizontal="center"/>
    </xf>
    <xf numFmtId="42" fontId="5" fillId="50" borderId="153" xfId="0" applyNumberFormat="1" applyFont="1" applyFill="1" applyBorder="1" applyAlignment="1">
      <alignment horizontal="center"/>
    </xf>
    <xf numFmtId="42" fontId="5" fillId="0" borderId="153" xfId="0" applyNumberFormat="1" applyFont="1" applyBorder="1" applyAlignment="1">
      <alignment horizontal="center"/>
    </xf>
    <xf numFmtId="42" fontId="5" fillId="0" borderId="202" xfId="0" applyNumberFormat="1" applyFont="1" applyBorder="1" applyAlignment="1">
      <alignment horizontal="center"/>
    </xf>
    <xf numFmtId="42" fontId="5" fillId="0" borderId="201" xfId="0" applyNumberFormat="1" applyFont="1" applyBorder="1" applyAlignment="1">
      <alignment horizontal="center"/>
    </xf>
    <xf numFmtId="42" fontId="5" fillId="6" borderId="153" xfId="0" applyNumberFormat="1" applyFont="1" applyFill="1" applyBorder="1" applyAlignment="1">
      <alignment horizontal="center"/>
    </xf>
    <xf numFmtId="42" fontId="5" fillId="38" borderId="153" xfId="0" applyNumberFormat="1" applyFont="1" applyFill="1" applyBorder="1" applyAlignment="1">
      <alignment horizontal="center"/>
    </xf>
    <xf numFmtId="42" fontId="5" fillId="50" borderId="203" xfId="0" applyNumberFormat="1" applyFont="1" applyFill="1" applyBorder="1" applyAlignment="1">
      <alignment horizontal="center"/>
    </xf>
    <xf numFmtId="42" fontId="5" fillId="50" borderId="204" xfId="0" applyNumberFormat="1" applyFont="1" applyFill="1" applyBorder="1" applyAlignment="1">
      <alignment horizontal="center"/>
    </xf>
    <xf numFmtId="42" fontId="5" fillId="0" borderId="204" xfId="0" applyNumberFormat="1" applyFont="1" applyBorder="1" applyAlignment="1">
      <alignment horizontal="center"/>
    </xf>
    <xf numFmtId="42" fontId="5" fillId="0" borderId="205" xfId="0" applyNumberFormat="1" applyFont="1" applyBorder="1" applyAlignment="1">
      <alignment horizontal="center"/>
    </xf>
    <xf numFmtId="42" fontId="5" fillId="0" borderId="131" xfId="0" applyNumberFormat="1" applyFont="1" applyBorder="1" applyAlignment="1">
      <alignment horizontal="center"/>
    </xf>
    <xf numFmtId="42" fontId="5" fillId="0" borderId="127" xfId="0" applyNumberFormat="1" applyFont="1" applyBorder="1" applyAlignment="1">
      <alignment horizontal="center"/>
    </xf>
    <xf numFmtId="42" fontId="5" fillId="50" borderId="222" xfId="0" applyNumberFormat="1" applyFont="1" applyFill="1" applyBorder="1" applyAlignment="1">
      <alignment horizontal="center"/>
    </xf>
    <xf numFmtId="42" fontId="5" fillId="0" borderId="222" xfId="0" applyNumberFormat="1" applyFont="1" applyBorder="1" applyAlignment="1">
      <alignment horizontal="center"/>
    </xf>
    <xf numFmtId="42" fontId="5" fillId="0" borderId="223" xfId="0" applyNumberFormat="1" applyFont="1" applyBorder="1" applyAlignment="1">
      <alignment horizontal="center"/>
    </xf>
    <xf numFmtId="42" fontId="5" fillId="0" borderId="132" xfId="0" applyNumberFormat="1" applyFont="1" applyBorder="1" applyAlignment="1">
      <alignment horizontal="center"/>
    </xf>
    <xf numFmtId="42" fontId="5" fillId="0" borderId="123" xfId="0" applyNumberFormat="1" applyFont="1" applyBorder="1" applyAlignment="1">
      <alignment horizontal="center"/>
    </xf>
    <xf numFmtId="42" fontId="11" fillId="9" borderId="14" xfId="0" applyNumberFormat="1" applyFont="1" applyFill="1" applyBorder="1"/>
    <xf numFmtId="42" fontId="11" fillId="9" borderId="13" xfId="0" applyNumberFormat="1" applyFont="1" applyFill="1" applyBorder="1"/>
    <xf numFmtId="42" fontId="5" fillId="38" borderId="0" xfId="0" applyNumberFormat="1" applyFont="1" applyFill="1" applyAlignment="1"/>
    <xf numFmtId="42" fontId="5" fillId="0" borderId="14" xfId="0" applyNumberFormat="1" applyFont="1" applyBorder="1"/>
    <xf numFmtId="42" fontId="5" fillId="0" borderId="14" xfId="0" applyNumberFormat="1" applyFont="1" applyBorder="1" applyAlignment="1"/>
    <xf numFmtId="42" fontId="5" fillId="0" borderId="9" xfId="0" applyNumberFormat="1" applyFont="1" applyBorder="1" applyAlignment="1"/>
    <xf numFmtId="42" fontId="5" fillId="0" borderId="80" xfId="0" applyNumberFormat="1" applyFont="1" applyBorder="1"/>
    <xf numFmtId="42" fontId="5" fillId="0" borderId="82" xfId="0" applyNumberFormat="1" applyFont="1" applyBorder="1"/>
    <xf numFmtId="42" fontId="5" fillId="0" borderId="13" xfId="0" applyNumberFormat="1" applyFont="1" applyBorder="1" applyAlignment="1"/>
    <xf numFmtId="42" fontId="5" fillId="38" borderId="0" xfId="0" applyNumberFormat="1" applyFont="1" applyFill="1"/>
    <xf numFmtId="42" fontId="5" fillId="0" borderId="9" xfId="0" applyNumberFormat="1" applyFont="1" applyBorder="1"/>
    <xf numFmtId="42" fontId="5" fillId="0" borderId="103" xfId="0" applyNumberFormat="1" applyFont="1" applyBorder="1"/>
    <xf numFmtId="42" fontId="5" fillId="0" borderId="81" xfId="0" applyNumberFormat="1" applyFont="1" applyBorder="1"/>
    <xf numFmtId="42" fontId="5" fillId="0" borderId="13" xfId="0" applyNumberFormat="1" applyFont="1" applyBorder="1"/>
    <xf numFmtId="42" fontId="5" fillId="38" borderId="24" xfId="0" applyNumberFormat="1" applyFont="1" applyFill="1" applyBorder="1" applyAlignment="1"/>
    <xf numFmtId="42" fontId="5" fillId="0" borderId="24" xfId="0" applyNumberFormat="1" applyFont="1" applyBorder="1"/>
    <xf numFmtId="42" fontId="5" fillId="0" borderId="52" xfId="0" applyNumberFormat="1" applyFont="1" applyBorder="1"/>
    <xf numFmtId="42" fontId="5" fillId="38" borderId="10" xfId="0" applyNumberFormat="1" applyFont="1" applyFill="1" applyBorder="1"/>
    <xf numFmtId="42" fontId="5" fillId="38" borderId="11" xfId="0" applyNumberFormat="1" applyFont="1" applyFill="1" applyBorder="1"/>
    <xf numFmtId="42" fontId="5" fillId="38" borderId="11" xfId="0" applyNumberFormat="1" applyFont="1" applyFill="1" applyBorder="1" applyAlignment="1"/>
    <xf numFmtId="42" fontId="5" fillId="38" borderId="15" xfId="0" applyNumberFormat="1" applyFont="1" applyFill="1" applyBorder="1"/>
    <xf numFmtId="42" fontId="5" fillId="2" borderId="7" xfId="0" applyNumberFormat="1" applyFont="1" applyFill="1" applyBorder="1"/>
    <xf numFmtId="42" fontId="5" fillId="0" borderId="0" xfId="0" applyNumberFormat="1" applyFont="1" applyAlignment="1">
      <alignment horizontal="center"/>
    </xf>
    <xf numFmtId="42" fontId="5" fillId="0" borderId="9" xfId="0" applyNumberFormat="1" applyFont="1" applyBorder="1" applyAlignment="1">
      <alignment horizontal="center"/>
    </xf>
    <xf numFmtId="42" fontId="12" fillId="6" borderId="0" xfId="0" applyNumberFormat="1" applyFont="1" applyFill="1" applyAlignment="1">
      <alignment horizontal="center"/>
    </xf>
    <xf numFmtId="42" fontId="5" fillId="0" borderId="24" xfId="0" applyNumberFormat="1" applyFont="1" applyBorder="1" applyAlignment="1">
      <alignment horizontal="center"/>
    </xf>
    <xf numFmtId="42" fontId="5" fillId="0" borderId="52" xfId="0" applyNumberFormat="1" applyFont="1" applyBorder="1" applyAlignment="1">
      <alignment horizontal="center"/>
    </xf>
    <xf numFmtId="42" fontId="5" fillId="0" borderId="14" xfId="0" applyNumberFormat="1" applyFont="1" applyBorder="1" applyAlignment="1">
      <alignment horizontal="center"/>
    </xf>
    <xf numFmtId="42" fontId="5" fillId="0" borderId="13" xfId="0" applyNumberFormat="1" applyFont="1" applyBorder="1" applyAlignment="1">
      <alignment horizontal="center"/>
    </xf>
    <xf numFmtId="9" fontId="5" fillId="0" borderId="0" xfId="7" applyNumberFormat="1" applyFont="1" applyAlignment="1">
      <alignment horizontal="center"/>
    </xf>
    <xf numFmtId="9" fontId="5" fillId="0" borderId="14" xfId="7" applyNumberFormat="1" applyFont="1" applyBorder="1" applyAlignment="1">
      <alignment horizontal="center"/>
    </xf>
    <xf numFmtId="9" fontId="5" fillId="0" borderId="131" xfId="7" applyNumberFormat="1" applyFont="1" applyBorder="1" applyAlignment="1">
      <alignment horizontal="center"/>
    </xf>
    <xf numFmtId="42" fontId="5" fillId="38" borderId="0" xfId="0" applyNumberFormat="1" applyFont="1" applyFill="1" applyAlignment="1">
      <alignment horizontal="center"/>
    </xf>
    <xf numFmtId="0" fontId="5" fillId="38" borderId="123" xfId="0" applyFont="1" applyFill="1" applyBorder="1" applyAlignment="1">
      <alignment horizontal="center"/>
    </xf>
    <xf numFmtId="0" fontId="5" fillId="30" borderId="208" xfId="0" applyFont="1" applyFill="1" applyBorder="1"/>
    <xf numFmtId="0" fontId="5" fillId="30" borderId="209" xfId="0" applyFont="1" applyFill="1" applyBorder="1"/>
    <xf numFmtId="0" fontId="5" fillId="30" borderId="210" xfId="0" applyFont="1" applyFill="1" applyBorder="1"/>
    <xf numFmtId="0" fontId="11" fillId="3" borderId="117" xfId="0" applyFont="1" applyFill="1" applyBorder="1" applyAlignment="1"/>
    <xf numFmtId="0" fontId="5" fillId="38" borderId="237" xfId="0" applyFont="1" applyFill="1" applyBorder="1" applyAlignment="1">
      <alignment horizontal="center"/>
    </xf>
    <xf numFmtId="0" fontId="5" fillId="38" borderId="238" xfId="0" applyFont="1" applyFill="1" applyBorder="1" applyAlignment="1">
      <alignment horizontal="center"/>
    </xf>
    <xf numFmtId="0" fontId="5" fillId="38" borderId="239" xfId="0" applyFont="1" applyFill="1" applyBorder="1" applyAlignment="1">
      <alignment horizontal="center"/>
    </xf>
    <xf numFmtId="0" fontId="5" fillId="0" borderId="123" xfId="0" applyFont="1" applyFill="1" applyBorder="1" applyAlignment="1">
      <alignment horizontal="center"/>
    </xf>
    <xf numFmtId="0" fontId="19" fillId="0" borderId="0" xfId="7" applyAlignment="1">
      <alignment horizontal="center"/>
    </xf>
    <xf numFmtId="167" fontId="5" fillId="0" borderId="0" xfId="9" applyNumberFormat="1" applyFont="1" applyBorder="1" applyAlignment="1">
      <alignment horizontal="left"/>
    </xf>
    <xf numFmtId="167" fontId="5" fillId="0" borderId="121" xfId="9" applyNumberFormat="1" applyFont="1" applyBorder="1" applyAlignment="1">
      <alignment horizontal="left"/>
    </xf>
    <xf numFmtId="10" fontId="5" fillId="0" borderId="131" xfId="8" applyNumberFormat="1" applyFont="1" applyBorder="1" applyAlignment="1">
      <alignment horizontal="center"/>
    </xf>
    <xf numFmtId="10" fontId="5" fillId="0" borderId="127" xfId="8" applyNumberFormat="1" applyFont="1" applyBorder="1" applyAlignment="1">
      <alignment horizontal="center"/>
    </xf>
    <xf numFmtId="0" fontId="11" fillId="52" borderId="132" xfId="7" applyFont="1" applyFill="1" applyBorder="1" applyAlignment="1">
      <alignment horizontal="center"/>
    </xf>
    <xf numFmtId="0" fontId="11" fillId="52" borderId="123" xfId="7" applyFont="1" applyFill="1" applyBorder="1" applyAlignment="1">
      <alignment horizontal="center"/>
    </xf>
    <xf numFmtId="0" fontId="5" fillId="52" borderId="117" xfId="7" applyFont="1" applyFill="1" applyBorder="1" applyAlignment="1">
      <alignment horizontal="center"/>
    </xf>
    <xf numFmtId="0" fontId="11" fillId="0" borderId="134" xfId="7" applyFont="1" applyBorder="1" applyAlignment="1">
      <alignment horizontal="center"/>
    </xf>
    <xf numFmtId="0" fontId="11" fillId="0" borderId="135" xfId="7" applyFont="1" applyBorder="1" applyAlignment="1">
      <alignment horizontal="center"/>
    </xf>
    <xf numFmtId="164" fontId="5" fillId="51" borderId="17" xfId="0" applyNumberFormat="1" applyFont="1" applyFill="1" applyBorder="1" applyAlignment="1">
      <alignment horizontal="right"/>
    </xf>
    <xf numFmtId="2" fontId="12" fillId="0" borderId="0" xfId="0" applyNumberFormat="1" applyFont="1" applyAlignment="1"/>
    <xf numFmtId="0" fontId="12" fillId="0" borderId="205" xfId="0" applyFont="1" applyBorder="1" applyAlignment="1"/>
    <xf numFmtId="9" fontId="12" fillId="0" borderId="204" xfId="0" applyNumberFormat="1" applyFont="1" applyBorder="1" applyAlignment="1"/>
    <xf numFmtId="9" fontId="12" fillId="0" borderId="249" xfId="0" applyNumberFormat="1" applyFont="1" applyBorder="1" applyAlignment="1"/>
    <xf numFmtId="0" fontId="12" fillId="0" borderId="208" xfId="0" applyFont="1" applyBorder="1" applyAlignment="1"/>
    <xf numFmtId="0" fontId="12" fillId="0" borderId="209" xfId="0" applyFont="1" applyBorder="1" applyAlignment="1"/>
    <xf numFmtId="0" fontId="12" fillId="0" borderId="210" xfId="0" applyFont="1" applyBorder="1" applyAlignment="1"/>
    <xf numFmtId="0" fontId="12" fillId="0" borderId="207" xfId="0" applyFont="1" applyBorder="1" applyAlignment="1"/>
    <xf numFmtId="9" fontId="12" fillId="0" borderId="207" xfId="0" applyNumberFormat="1" applyFont="1" applyBorder="1" applyAlignment="1"/>
    <xf numFmtId="0" fontId="12" fillId="23" borderId="117" xfId="0" applyFont="1" applyFill="1" applyBorder="1" applyAlignment="1"/>
    <xf numFmtId="0" fontId="12" fillId="23" borderId="241" xfId="0" applyFont="1" applyFill="1" applyBorder="1" applyAlignment="1"/>
    <xf numFmtId="0" fontId="12" fillId="23" borderId="218" xfId="0" applyFont="1" applyFill="1" applyBorder="1" applyAlignment="1"/>
    <xf numFmtId="0" fontId="12" fillId="23" borderId="244" xfId="0" applyFont="1" applyFill="1" applyBorder="1" applyAlignment="1"/>
    <xf numFmtId="0" fontId="12" fillId="0" borderId="216" xfId="0" applyFont="1" applyBorder="1" applyAlignment="1"/>
    <xf numFmtId="0" fontId="113" fillId="65" borderId="219" xfId="0" applyFont="1" applyFill="1" applyBorder="1" applyAlignment="1"/>
    <xf numFmtId="0" fontId="113" fillId="64" borderId="241" xfId="0" applyFont="1" applyFill="1" applyBorder="1" applyAlignment="1"/>
    <xf numFmtId="0" fontId="12" fillId="0" borderId="152" xfId="0" applyFont="1" applyBorder="1" applyAlignment="1"/>
    <xf numFmtId="0" fontId="12" fillId="0" borderId="240" xfId="0" applyFont="1" applyBorder="1" applyAlignment="1"/>
    <xf numFmtId="0" fontId="12" fillId="30" borderId="117" xfId="0" applyFont="1" applyFill="1" applyBorder="1" applyAlignment="1"/>
    <xf numFmtId="3" fontId="12" fillId="0" borderId="149" xfId="0" applyNumberFormat="1" applyFont="1" applyBorder="1" applyAlignment="1"/>
    <xf numFmtId="3" fontId="12" fillId="0" borderId="199" xfId="0" applyNumberFormat="1" applyFont="1" applyBorder="1" applyAlignment="1"/>
    <xf numFmtId="3" fontId="12" fillId="0" borderId="147" xfId="0" applyNumberFormat="1" applyFont="1" applyBorder="1" applyAlignment="1"/>
    <xf numFmtId="3" fontId="12" fillId="0" borderId="208" xfId="0" applyNumberFormat="1" applyFont="1" applyBorder="1" applyAlignment="1"/>
    <xf numFmtId="3" fontId="12" fillId="0" borderId="206" xfId="0" applyNumberFormat="1" applyFont="1" applyBorder="1" applyAlignment="1"/>
    <xf numFmtId="3" fontId="12" fillId="0" borderId="153" xfId="0" applyNumberFormat="1" applyFont="1" applyBorder="1" applyAlignment="1"/>
    <xf numFmtId="3" fontId="12" fillId="0" borderId="248" xfId="0" applyNumberFormat="1" applyFont="1" applyBorder="1" applyAlignment="1"/>
    <xf numFmtId="3" fontId="12" fillId="0" borderId="209" xfId="0" applyNumberFormat="1" applyFont="1" applyBorder="1" applyAlignment="1"/>
    <xf numFmtId="3" fontId="12" fillId="0" borderId="207" xfId="0" applyNumberFormat="1" applyFont="1" applyBorder="1" applyAlignment="1"/>
    <xf numFmtId="3" fontId="12" fillId="0" borderId="204" xfId="0" applyNumberFormat="1" applyFont="1" applyBorder="1" applyAlignment="1"/>
    <xf numFmtId="3" fontId="12" fillId="0" borderId="249" xfId="0" applyNumberFormat="1" applyFont="1" applyBorder="1" applyAlignment="1"/>
    <xf numFmtId="3" fontId="12" fillId="0" borderId="210" xfId="0" applyNumberFormat="1" applyFont="1" applyBorder="1" applyAlignment="1"/>
    <xf numFmtId="0" fontId="0" fillId="0" borderId="0" xfId="0" applyFont="1" applyAlignment="1"/>
    <xf numFmtId="0" fontId="5" fillId="0" borderId="216" xfId="0" applyFont="1" applyBorder="1" applyAlignment="1"/>
    <xf numFmtId="8" fontId="11" fillId="0" borderId="152" xfId="0" applyNumberFormat="1" applyFont="1" applyBorder="1" applyAlignment="1"/>
    <xf numFmtId="8" fontId="5" fillId="0" borderId="206" xfId="0" applyNumberFormat="1" applyFont="1" applyBorder="1" applyAlignment="1"/>
    <xf numFmtId="8" fontId="5" fillId="0" borderId="207" xfId="0" applyNumberFormat="1" applyFont="1" applyBorder="1" applyAlignment="1"/>
    <xf numFmtId="0" fontId="5" fillId="23" borderId="117" xfId="0" applyFont="1" applyFill="1" applyBorder="1" applyAlignment="1"/>
    <xf numFmtId="0" fontId="5" fillId="23" borderId="241" xfId="0" applyFont="1" applyFill="1" applyBorder="1" applyAlignment="1"/>
    <xf numFmtId="0" fontId="5" fillId="23" borderId="219" xfId="0" applyFont="1" applyFill="1" applyBorder="1" applyAlignment="1"/>
    <xf numFmtId="0" fontId="5" fillId="23" borderId="240" xfId="0" applyFont="1" applyFill="1" applyBorder="1" applyAlignment="1"/>
    <xf numFmtId="0" fontId="5" fillId="23" borderId="209" xfId="0" applyFont="1" applyFill="1" applyBorder="1" applyAlignment="1"/>
    <xf numFmtId="0" fontId="5" fillId="23" borderId="210" xfId="0" applyFont="1" applyFill="1" applyBorder="1" applyAlignment="1"/>
    <xf numFmtId="0" fontId="0" fillId="0" borderId="0" xfId="0" applyFont="1" applyAlignment="1"/>
    <xf numFmtId="9" fontId="5" fillId="0" borderId="0" xfId="0" applyNumberFormat="1" applyFont="1" applyBorder="1" applyAlignment="1"/>
    <xf numFmtId="8" fontId="5" fillId="0" borderId="153" xfId="0" applyNumberFormat="1" applyFont="1" applyBorder="1" applyAlignment="1"/>
    <xf numFmtId="174" fontId="5" fillId="0" borderId="153" xfId="0" applyNumberFormat="1" applyFont="1" applyBorder="1" applyAlignment="1"/>
    <xf numFmtId="44" fontId="11" fillId="0" borderId="215" xfId="0" applyNumberFormat="1" applyFont="1" applyBorder="1" applyAlignment="1"/>
    <xf numFmtId="0" fontId="5" fillId="23" borderId="214" xfId="0" applyFont="1" applyFill="1" applyBorder="1" applyAlignment="1"/>
    <xf numFmtId="0" fontId="5" fillId="23" borderId="201" xfId="0" applyFont="1" applyFill="1" applyBorder="1" applyAlignment="1"/>
    <xf numFmtId="0" fontId="12" fillId="0" borderId="202" xfId="0" applyFont="1" applyBorder="1" applyAlignment="1"/>
    <xf numFmtId="0" fontId="12" fillId="0" borderId="202" xfId="0" applyFont="1" applyFill="1" applyBorder="1" applyAlignment="1"/>
    <xf numFmtId="0" fontId="5" fillId="23" borderId="203" xfId="0" applyFont="1" applyFill="1" applyBorder="1" applyAlignment="1"/>
    <xf numFmtId="8" fontId="5" fillId="0" borderId="204" xfId="0" applyNumberFormat="1" applyFont="1" applyBorder="1" applyAlignment="1"/>
    <xf numFmtId="0" fontId="12" fillId="0" borderId="205" xfId="0" applyFont="1" applyFill="1" applyBorder="1" applyAlignment="1"/>
    <xf numFmtId="0" fontId="99" fillId="0" borderId="0" xfId="1" applyFont="1" applyAlignment="1">
      <alignment wrapText="1"/>
    </xf>
    <xf numFmtId="0" fontId="5" fillId="0" borderId="18" xfId="0" applyFont="1" applyBorder="1" applyAlignment="1"/>
    <xf numFmtId="0" fontId="14" fillId="0" borderId="19" xfId="0" applyFont="1" applyBorder="1"/>
    <xf numFmtId="0" fontId="14" fillId="0" borderId="20" xfId="0" applyFont="1" applyBorder="1"/>
    <xf numFmtId="0" fontId="11" fillId="8" borderId="18" xfId="0" applyFont="1" applyFill="1" applyBorder="1" applyAlignment="1">
      <alignment horizontal="center"/>
    </xf>
    <xf numFmtId="0" fontId="11" fillId="8" borderId="18" xfId="0" applyFont="1" applyFill="1" applyBorder="1" applyAlignment="1">
      <alignment horizontal="center" wrapText="1"/>
    </xf>
    <xf numFmtId="43" fontId="5" fillId="9" borderId="18" xfId="0" applyNumberFormat="1" applyFont="1" applyFill="1" applyBorder="1" applyAlignment="1"/>
    <xf numFmtId="0" fontId="11" fillId="24" borderId="161" xfId="0" applyFont="1" applyFill="1" applyBorder="1" applyAlignment="1">
      <alignment horizontal="center"/>
    </xf>
    <xf numFmtId="0" fontId="14" fillId="23" borderId="162" xfId="0" applyFont="1" applyFill="1" applyBorder="1"/>
    <xf numFmtId="44" fontId="3" fillId="25" borderId="124" xfId="0" applyNumberFormat="1" applyFont="1" applyFill="1" applyBorder="1" applyAlignment="1">
      <alignment horizontal="center" vertical="center"/>
    </xf>
    <xf numFmtId="44" fontId="3" fillId="25" borderId="125" xfId="0" applyNumberFormat="1" applyFont="1" applyFill="1" applyBorder="1" applyAlignment="1">
      <alignment horizontal="center" vertical="center"/>
    </xf>
    <xf numFmtId="44" fontId="3" fillId="25" borderId="126" xfId="0" applyNumberFormat="1" applyFont="1" applyFill="1" applyBorder="1" applyAlignment="1">
      <alignment horizontal="center" vertical="center"/>
    </xf>
    <xf numFmtId="44" fontId="3" fillId="25" borderId="127" xfId="0" applyNumberFormat="1" applyFont="1" applyFill="1" applyBorder="1" applyAlignment="1">
      <alignment horizontal="center" vertical="center"/>
    </xf>
    <xf numFmtId="0" fontId="3" fillId="26" borderId="124" xfId="0" applyFont="1" applyFill="1" applyBorder="1" applyAlignment="1">
      <alignment horizontal="center" vertical="center"/>
    </xf>
    <xf numFmtId="0" fontId="3" fillId="26" borderId="125" xfId="0" applyFont="1" applyFill="1" applyBorder="1" applyAlignment="1">
      <alignment horizontal="center" vertical="center"/>
    </xf>
    <xf numFmtId="0" fontId="3" fillId="26" borderId="126" xfId="0" applyFont="1" applyFill="1" applyBorder="1" applyAlignment="1">
      <alignment horizontal="center" vertical="center"/>
    </xf>
    <xf numFmtId="0" fontId="3" fillId="26" borderId="127" xfId="0" applyFont="1" applyFill="1" applyBorder="1" applyAlignment="1">
      <alignment horizontal="center" vertical="center"/>
    </xf>
    <xf numFmtId="0" fontId="86" fillId="23" borderId="124" xfId="0" applyFont="1" applyFill="1" applyBorder="1" applyAlignment="1">
      <alignment horizontal="center" vertical="center"/>
    </xf>
    <xf numFmtId="0" fontId="86" fillId="23" borderId="125" xfId="0" applyFont="1" applyFill="1" applyBorder="1" applyAlignment="1">
      <alignment horizontal="center" vertical="center"/>
    </xf>
    <xf numFmtId="0" fontId="86" fillId="23" borderId="126" xfId="0" applyFont="1" applyFill="1" applyBorder="1" applyAlignment="1">
      <alignment horizontal="center" vertical="center"/>
    </xf>
    <xf numFmtId="0" fontId="86" fillId="23" borderId="127" xfId="0" applyFont="1" applyFill="1" applyBorder="1" applyAlignment="1">
      <alignment horizontal="center" vertical="center"/>
    </xf>
    <xf numFmtId="0" fontId="3" fillId="27" borderId="124" xfId="0" applyFont="1" applyFill="1" applyBorder="1" applyAlignment="1">
      <alignment horizontal="center" vertical="center"/>
    </xf>
    <xf numFmtId="0" fontId="3" fillId="27" borderId="125" xfId="0" applyFont="1" applyFill="1" applyBorder="1" applyAlignment="1">
      <alignment horizontal="center" vertical="center"/>
    </xf>
    <xf numFmtId="0" fontId="3" fillId="27" borderId="126" xfId="0" applyFont="1" applyFill="1" applyBorder="1" applyAlignment="1">
      <alignment horizontal="center" vertical="center"/>
    </xf>
    <xf numFmtId="0" fontId="3" fillId="27" borderId="127" xfId="0" applyFont="1" applyFill="1" applyBorder="1" applyAlignment="1">
      <alignment horizontal="center" vertical="center"/>
    </xf>
    <xf numFmtId="44" fontId="5" fillId="0" borderId="122" xfId="0" applyNumberFormat="1" applyFont="1" applyBorder="1" applyAlignment="1">
      <alignment horizontal="center" vertical="center"/>
    </xf>
    <xf numFmtId="44" fontId="5" fillId="0" borderId="123" xfId="0" applyNumberFormat="1" applyFont="1" applyBorder="1" applyAlignment="1">
      <alignment horizontal="center" vertical="center"/>
    </xf>
    <xf numFmtId="0" fontId="97" fillId="32" borderId="230" xfId="0" applyFont="1" applyFill="1" applyBorder="1" applyAlignment="1">
      <alignment horizontal="center"/>
    </xf>
    <xf numFmtId="0" fontId="97" fillId="32" borderId="231" xfId="0" applyFont="1" applyFill="1" applyBorder="1" applyAlignment="1">
      <alignment horizontal="center"/>
    </xf>
    <xf numFmtId="0" fontId="97" fillId="32" borderId="162" xfId="0" applyFont="1" applyFill="1" applyBorder="1" applyAlignment="1">
      <alignment horizontal="center"/>
    </xf>
    <xf numFmtId="0" fontId="97" fillId="32" borderId="83" xfId="0" applyFont="1" applyFill="1" applyBorder="1" applyAlignment="1">
      <alignment horizontal="center"/>
    </xf>
    <xf numFmtId="0" fontId="97" fillId="32" borderId="159" xfId="0" applyFont="1" applyFill="1" applyBorder="1" applyAlignment="1">
      <alignment horizontal="center"/>
    </xf>
    <xf numFmtId="0" fontId="97" fillId="32" borderId="160" xfId="0" applyFont="1" applyFill="1" applyBorder="1" applyAlignment="1">
      <alignment horizontal="center"/>
    </xf>
    <xf numFmtId="0" fontId="97" fillId="32" borderId="85" xfId="0" applyFont="1" applyFill="1" applyBorder="1" applyAlignment="1">
      <alignment horizontal="center"/>
    </xf>
    <xf numFmtId="0" fontId="97" fillId="32" borderId="233" xfId="0" applyFont="1" applyFill="1" applyBorder="1" applyAlignment="1">
      <alignment horizontal="center"/>
    </xf>
    <xf numFmtId="0" fontId="97" fillId="32" borderId="125" xfId="0" applyFont="1" applyFill="1" applyBorder="1" applyAlignment="1">
      <alignment horizontal="center"/>
    </xf>
    <xf numFmtId="0" fontId="97" fillId="0" borderId="0" xfId="0" applyFont="1" applyAlignment="1">
      <alignment horizontal="left" wrapText="1"/>
    </xf>
    <xf numFmtId="0" fontId="97" fillId="0" borderId="0" xfId="0" applyFont="1"/>
    <xf numFmtId="0" fontId="8" fillId="0" borderId="122" xfId="2" applyFont="1" applyBorder="1" applyAlignment="1">
      <alignment horizontal="center"/>
    </xf>
    <xf numFmtId="0" fontId="8" fillId="0" borderId="123" xfId="2" applyFont="1" applyBorder="1" applyAlignment="1">
      <alignment horizontal="center"/>
    </xf>
    <xf numFmtId="0" fontId="15" fillId="0" borderId="122" xfId="2" applyFont="1" applyBorder="1" applyAlignment="1">
      <alignment horizontal="center"/>
    </xf>
    <xf numFmtId="0" fontId="15" fillId="0" borderId="123" xfId="2" applyFont="1" applyBorder="1" applyAlignment="1">
      <alignment horizontal="center"/>
    </xf>
    <xf numFmtId="0" fontId="94" fillId="0" borderId="0" xfId="2" applyFont="1" applyAlignment="1">
      <alignment horizontal="center"/>
    </xf>
    <xf numFmtId="0" fontId="8" fillId="0" borderId="0" xfId="2" applyFont="1" applyAlignment="1">
      <alignment horizontal="center"/>
    </xf>
    <xf numFmtId="3" fontId="11" fillId="3" borderId="3" xfId="0" applyNumberFormat="1" applyFont="1" applyFill="1" applyBorder="1" applyAlignment="1">
      <alignment horizontal="center"/>
    </xf>
    <xf numFmtId="0" fontId="14" fillId="0" borderId="4" xfId="0" applyFont="1" applyBorder="1"/>
    <xf numFmtId="0" fontId="102" fillId="30" borderId="122" xfId="5" applyFont="1" applyFill="1" applyBorder="1" applyAlignment="1">
      <alignment horizontal="center" vertical="center" wrapText="1"/>
    </xf>
    <xf numFmtId="0" fontId="102" fillId="30" borderId="123" xfId="5" applyFont="1" applyFill="1" applyBorder="1" applyAlignment="1">
      <alignment horizontal="center" vertical="center" wrapText="1"/>
    </xf>
    <xf numFmtId="0" fontId="102" fillId="30" borderId="132" xfId="5" applyFont="1" applyFill="1" applyBorder="1" applyAlignment="1">
      <alignment horizontal="center" vertical="center" wrapText="1"/>
    </xf>
    <xf numFmtId="0" fontId="106" fillId="0" borderId="122" xfId="5" applyFont="1" applyBorder="1" applyAlignment="1">
      <alignment horizontal="center"/>
    </xf>
    <xf numFmtId="0" fontId="106" fillId="0" borderId="123" xfId="5" applyFont="1" applyBorder="1" applyAlignment="1">
      <alignment horizontal="center"/>
    </xf>
    <xf numFmtId="0" fontId="98" fillId="3" borderId="187" xfId="0" applyFont="1" applyFill="1" applyBorder="1" applyAlignment="1">
      <alignment horizontal="center" wrapText="1"/>
    </xf>
    <xf numFmtId="0" fontId="38" fillId="3" borderId="103" xfId="0" applyFont="1" applyFill="1" applyBorder="1" applyAlignment="1">
      <alignment horizontal="center" wrapText="1"/>
    </xf>
    <xf numFmtId="0" fontId="38" fillId="3" borderId="225" xfId="0" applyFont="1" applyFill="1" applyBorder="1" applyAlignment="1">
      <alignment horizontal="center" wrapText="1"/>
    </xf>
    <xf numFmtId="0" fontId="38" fillId="3" borderId="187" xfId="0" applyFont="1" applyFill="1" applyBorder="1" applyAlignment="1">
      <alignment horizontal="center" wrapText="1"/>
    </xf>
    <xf numFmtId="0" fontId="5" fillId="0" borderId="0" xfId="0" applyFont="1"/>
    <xf numFmtId="0" fontId="0" fillId="0" borderId="0" xfId="0" applyFont="1" applyAlignment="1"/>
    <xf numFmtId="0" fontId="11" fillId="3" borderId="3" xfId="0" applyFont="1" applyFill="1" applyBorder="1" applyAlignment="1">
      <alignment horizontal="center"/>
    </xf>
    <xf numFmtId="0" fontId="14" fillId="0" borderId="5" xfId="0" applyFont="1" applyBorder="1"/>
    <xf numFmtId="0" fontId="11" fillId="29" borderId="3" xfId="0" applyFont="1" applyFill="1" applyBorder="1" applyAlignment="1">
      <alignment horizontal="center"/>
    </xf>
    <xf numFmtId="0" fontId="14" fillId="30" borderId="5" xfId="0" applyFont="1" applyFill="1" applyBorder="1"/>
    <xf numFmtId="0" fontId="14" fillId="30" borderId="4" xfId="0" applyFont="1" applyFill="1" applyBorder="1"/>
    <xf numFmtId="0" fontId="45" fillId="0" borderId="0" xfId="0" applyFont="1" applyAlignment="1"/>
    <xf numFmtId="0" fontId="84" fillId="29" borderId="122" xfId="0" applyFont="1" applyFill="1" applyBorder="1" applyAlignment="1">
      <alignment horizontal="center"/>
    </xf>
    <xf numFmtId="0" fontId="0" fillId="30" borderId="132" xfId="0" applyFont="1" applyFill="1" applyBorder="1" applyAlignment="1"/>
    <xf numFmtId="0" fontId="0" fillId="30" borderId="123" xfId="0" applyFont="1" applyFill="1" applyBorder="1" applyAlignment="1"/>
    <xf numFmtId="0" fontId="50" fillId="3" borderId="3" xfId="0" applyFont="1" applyFill="1" applyBorder="1" applyAlignment="1"/>
    <xf numFmtId="0" fontId="50" fillId="3" borderId="1" xfId="0" applyFont="1" applyFill="1" applyBorder="1" applyAlignment="1"/>
    <xf numFmtId="0" fontId="14" fillId="0" borderId="2" xfId="0" applyFont="1" applyBorder="1"/>
    <xf numFmtId="0" fontId="14" fillId="0" borderId="16" xfId="0" applyFont="1" applyBorder="1"/>
    <xf numFmtId="0" fontId="11" fillId="3" borderId="122" xfId="0" applyFont="1" applyFill="1" applyBorder="1" applyAlignment="1">
      <alignment horizontal="center"/>
    </xf>
    <xf numFmtId="0" fontId="14" fillId="0" borderId="132" xfId="0" applyFont="1" applyBorder="1"/>
    <xf numFmtId="0" fontId="14" fillId="0" borderId="123" xfId="0" applyFont="1" applyBorder="1"/>
    <xf numFmtId="1" fontId="11" fillId="0" borderId="124" xfId="0" applyNumberFormat="1" applyFont="1" applyBorder="1" applyAlignment="1">
      <alignment horizontal="center"/>
    </xf>
    <xf numFmtId="0" fontId="14" fillId="0" borderId="125" xfId="0" applyFont="1" applyBorder="1"/>
    <xf numFmtId="0" fontId="100" fillId="30" borderId="217" xfId="0" applyFont="1" applyFill="1" applyBorder="1" applyAlignment="1">
      <alignment horizontal="center"/>
    </xf>
    <xf numFmtId="0" fontId="100" fillId="30" borderId="218" xfId="0" applyFont="1" applyFill="1" applyBorder="1" applyAlignment="1">
      <alignment horizontal="center"/>
    </xf>
    <xf numFmtId="0" fontId="100" fillId="30" borderId="219" xfId="0" applyFont="1" applyFill="1" applyBorder="1" applyAlignment="1">
      <alignment horizontal="center"/>
    </xf>
    <xf numFmtId="0" fontId="5" fillId="0" borderId="0" xfId="0" applyFont="1" applyFill="1" applyBorder="1" applyAlignment="1">
      <alignment horizontal="center"/>
    </xf>
    <xf numFmtId="0" fontId="11" fillId="0" borderId="182" xfId="0" applyFont="1" applyBorder="1" applyAlignment="1">
      <alignment horizontal="left"/>
    </xf>
    <xf numFmtId="0" fontId="14" fillId="0" borderId="24" xfId="0" applyFont="1" applyBorder="1"/>
    <xf numFmtId="0" fontId="11" fillId="39" borderId="83" xfId="0" applyFont="1" applyFill="1" applyBorder="1" applyAlignment="1">
      <alignment horizontal="center"/>
    </xf>
    <xf numFmtId="0" fontId="14" fillId="30" borderId="84" xfId="0" applyFont="1" applyFill="1" applyBorder="1"/>
    <xf numFmtId="0" fontId="14" fillId="30" borderId="85" xfId="0" applyFont="1" applyFill="1" applyBorder="1"/>
    <xf numFmtId="0" fontId="56" fillId="4" borderId="3" xfId="0" applyFont="1" applyFill="1" applyBorder="1" applyAlignment="1"/>
    <xf numFmtId="0" fontId="100" fillId="3" borderId="122" xfId="0" applyFont="1" applyFill="1" applyBorder="1" applyAlignment="1">
      <alignment horizontal="center"/>
    </xf>
    <xf numFmtId="0" fontId="100" fillId="3" borderId="132" xfId="0" applyFont="1" applyFill="1" applyBorder="1" applyAlignment="1">
      <alignment horizontal="center"/>
    </xf>
    <xf numFmtId="0" fontId="100" fillId="3" borderId="123" xfId="0" applyFont="1" applyFill="1" applyBorder="1" applyAlignment="1">
      <alignment horizontal="center"/>
    </xf>
    <xf numFmtId="0" fontId="100" fillId="3" borderId="1" xfId="0" applyFont="1" applyFill="1" applyBorder="1" applyAlignment="1">
      <alignment horizontal="center"/>
    </xf>
    <xf numFmtId="0" fontId="100" fillId="3" borderId="2" xfId="0" applyFont="1" applyFill="1" applyBorder="1" applyAlignment="1">
      <alignment horizontal="center"/>
    </xf>
    <xf numFmtId="0" fontId="100" fillId="3" borderId="16" xfId="0" applyFont="1" applyFill="1" applyBorder="1" applyAlignment="1">
      <alignment horizontal="center"/>
    </xf>
    <xf numFmtId="0" fontId="100" fillId="4" borderId="3" xfId="0" applyFont="1" applyFill="1" applyBorder="1" applyAlignment="1">
      <alignment horizontal="center"/>
    </xf>
    <xf numFmtId="0" fontId="101" fillId="0" borderId="5" xfId="0" applyFont="1" applyBorder="1"/>
    <xf numFmtId="0" fontId="101" fillId="0" borderId="4" xfId="0" applyFont="1" applyBorder="1"/>
    <xf numFmtId="0" fontId="100" fillId="3" borderId="3" xfId="0" applyFont="1" applyFill="1" applyBorder="1" applyAlignment="1">
      <alignment horizontal="center"/>
    </xf>
    <xf numFmtId="0" fontId="101" fillId="0" borderId="16" xfId="0" applyFont="1" applyBorder="1"/>
    <xf numFmtId="0" fontId="73" fillId="5" borderId="3" xfId="0" applyFont="1" applyFill="1" applyBorder="1" applyAlignment="1">
      <alignment horizontal="left"/>
    </xf>
    <xf numFmtId="0" fontId="11" fillId="37" borderId="83" xfId="0" applyFont="1" applyFill="1" applyBorder="1" applyAlignment="1">
      <alignment horizontal="center"/>
    </xf>
    <xf numFmtId="0" fontId="14" fillId="23" borderId="84" xfId="0" applyFont="1" applyFill="1" applyBorder="1"/>
    <xf numFmtId="0" fontId="14" fillId="23" borderId="85" xfId="0" applyFont="1" applyFill="1" applyBorder="1"/>
    <xf numFmtId="0" fontId="11" fillId="30" borderId="203" xfId="7" applyFont="1" applyFill="1" applyBorder="1" applyAlignment="1">
      <alignment horizontal="left"/>
    </xf>
    <xf numFmtId="0" fontId="11" fillId="30" borderId="205" xfId="7" applyFont="1" applyFill="1" applyBorder="1" applyAlignment="1">
      <alignment horizontal="left"/>
    </xf>
    <xf numFmtId="0" fontId="17" fillId="4" borderId="244" xfId="7" applyFont="1" applyFill="1" applyBorder="1" applyAlignment="1">
      <alignment horizontal="center"/>
    </xf>
    <xf numFmtId="0" fontId="17" fillId="4" borderId="132" xfId="7" applyFont="1" applyFill="1" applyBorder="1" applyAlignment="1">
      <alignment horizontal="center"/>
    </xf>
    <xf numFmtId="0" fontId="17" fillId="4" borderId="123" xfId="7" applyFont="1" applyFill="1" applyBorder="1" applyAlignment="1">
      <alignment horizontal="center"/>
    </xf>
    <xf numFmtId="0" fontId="11" fillId="30" borderId="176" xfId="7" applyFont="1" applyFill="1" applyBorder="1" applyAlignment="1">
      <alignment horizontal="left"/>
    </xf>
    <xf numFmtId="0" fontId="11" fillId="30" borderId="200" xfId="7" applyFont="1" applyFill="1" applyBorder="1" applyAlignment="1">
      <alignment horizontal="left"/>
    </xf>
    <xf numFmtId="0" fontId="11" fillId="30" borderId="201" xfId="7" applyFont="1" applyFill="1" applyBorder="1" applyAlignment="1">
      <alignment horizontal="left"/>
    </xf>
    <xf numFmtId="0" fontId="11" fillId="30" borderId="202" xfId="7" applyFont="1" applyFill="1" applyBorder="1" applyAlignment="1">
      <alignment horizontal="left"/>
    </xf>
    <xf numFmtId="0" fontId="11" fillId="30" borderId="211" xfId="7" applyFont="1" applyFill="1" applyBorder="1" applyAlignment="1">
      <alignment horizontal="left"/>
    </xf>
    <xf numFmtId="0" fontId="11" fillId="30" borderId="238" xfId="7" applyFont="1" applyFill="1" applyBorder="1" applyAlignment="1">
      <alignment horizontal="left"/>
    </xf>
    <xf numFmtId="0" fontId="114" fillId="30" borderId="122" xfId="0" applyFont="1" applyFill="1" applyBorder="1" applyAlignment="1">
      <alignment horizontal="center"/>
    </xf>
    <xf numFmtId="0" fontId="114" fillId="30" borderId="132" xfId="0" applyFont="1" applyFill="1" applyBorder="1" applyAlignment="1">
      <alignment horizontal="center"/>
    </xf>
    <xf numFmtId="0" fontId="114" fillId="30" borderId="123" xfId="0" applyFont="1" applyFill="1" applyBorder="1" applyAlignment="1">
      <alignment horizontal="center"/>
    </xf>
    <xf numFmtId="0" fontId="12" fillId="0" borderId="136" xfId="0" applyFont="1" applyBorder="1" applyAlignment="1">
      <alignment horizontal="center" wrapText="1"/>
    </xf>
    <xf numFmtId="0" fontId="12" fillId="0" borderId="135" xfId="0" applyFont="1" applyBorder="1" applyAlignment="1">
      <alignment horizontal="center" wrapText="1"/>
    </xf>
    <xf numFmtId="0" fontId="12" fillId="63" borderId="211" xfId="7" applyFont="1" applyFill="1" applyBorder="1" applyAlignment="1">
      <alignment horizontal="left"/>
    </xf>
    <xf numFmtId="0" fontId="12" fillId="63" borderId="238" xfId="7" applyFont="1" applyFill="1" applyBorder="1" applyAlignment="1">
      <alignment horizontal="left"/>
    </xf>
    <xf numFmtId="0" fontId="12" fillId="63" borderId="212" xfId="7" applyFont="1" applyFill="1" applyBorder="1" applyAlignment="1">
      <alignment horizontal="left"/>
    </xf>
    <xf numFmtId="0" fontId="12" fillId="63" borderId="239" xfId="7" applyFont="1" applyFill="1" applyBorder="1" applyAlignment="1">
      <alignment horizontal="left"/>
    </xf>
    <xf numFmtId="0" fontId="17" fillId="63" borderId="247" xfId="7" applyFont="1" applyFill="1" applyBorder="1" applyAlignment="1">
      <alignment horizontal="left"/>
    </xf>
    <xf numFmtId="0" fontId="17" fillId="63" borderId="237" xfId="7" applyFont="1" applyFill="1" applyBorder="1" applyAlignment="1">
      <alignment horizontal="left"/>
    </xf>
    <xf numFmtId="0" fontId="17" fillId="63" borderId="247" xfId="7" applyFont="1" applyFill="1" applyBorder="1" applyAlignment="1">
      <alignment horizontal="left" wrapText="1"/>
    </xf>
    <xf numFmtId="0" fontId="17" fillId="63" borderId="237" xfId="7" applyFont="1" applyFill="1" applyBorder="1" applyAlignment="1">
      <alignment horizontal="left" wrapText="1"/>
    </xf>
    <xf numFmtId="0" fontId="111" fillId="52" borderId="217" xfId="7" applyFont="1" applyFill="1" applyBorder="1" applyAlignment="1">
      <alignment horizontal="center"/>
    </xf>
    <xf numFmtId="0" fontId="111" fillId="52" borderId="218" xfId="7" applyFont="1" applyFill="1" applyBorder="1" applyAlignment="1">
      <alignment horizontal="center"/>
    </xf>
    <xf numFmtId="0" fontId="111" fillId="52" borderId="219" xfId="7" applyFont="1" applyFill="1" applyBorder="1" applyAlignment="1">
      <alignment horizontal="center"/>
    </xf>
    <xf numFmtId="0" fontId="17" fillId="0" borderId="124" xfId="7" applyFont="1" applyBorder="1" applyAlignment="1">
      <alignment horizontal="center"/>
    </xf>
    <xf numFmtId="0" fontId="17" fillId="0" borderId="125" xfId="7" applyFont="1" applyBorder="1" applyAlignment="1">
      <alignment horizontal="center"/>
    </xf>
    <xf numFmtId="0" fontId="111" fillId="30" borderId="124" xfId="7" applyFont="1" applyFill="1" applyBorder="1" applyAlignment="1">
      <alignment horizontal="center"/>
    </xf>
    <xf numFmtId="0" fontId="111" fillId="30" borderId="130" xfId="7" applyFont="1" applyFill="1" applyBorder="1" applyAlignment="1">
      <alignment horizontal="center"/>
    </xf>
    <xf numFmtId="0" fontId="111" fillId="30" borderId="125" xfId="7" applyFont="1" applyFill="1" applyBorder="1" applyAlignment="1">
      <alignment horizontal="center"/>
    </xf>
    <xf numFmtId="0" fontId="17" fillId="0" borderId="126" xfId="7" applyFont="1" applyBorder="1" applyAlignment="1">
      <alignment horizontal="left"/>
    </xf>
    <xf numFmtId="0" fontId="17" fillId="0" borderId="131" xfId="7" applyFont="1" applyBorder="1" applyAlignment="1">
      <alignment horizontal="left"/>
    </xf>
    <xf numFmtId="0" fontId="17" fillId="0" borderId="127" xfId="7" applyFont="1" applyBorder="1" applyAlignment="1">
      <alignment horizontal="left"/>
    </xf>
    <xf numFmtId="0" fontId="17" fillId="0" borderId="124" xfId="7" applyFont="1" applyBorder="1" applyAlignment="1">
      <alignment horizontal="left"/>
    </xf>
    <xf numFmtId="0" fontId="17" fillId="0" borderId="130" xfId="7" applyFont="1" applyBorder="1" applyAlignment="1">
      <alignment horizontal="left"/>
    </xf>
    <xf numFmtId="0" fontId="17" fillId="0" borderId="125" xfId="7" applyFont="1" applyBorder="1" applyAlignment="1">
      <alignment horizontal="left"/>
    </xf>
    <xf numFmtId="0" fontId="17" fillId="0" borderId="126" xfId="7" applyFont="1" applyBorder="1" applyAlignment="1">
      <alignment horizontal="center"/>
    </xf>
    <xf numFmtId="0" fontId="17" fillId="0" borderId="127" xfId="7" applyFont="1" applyBorder="1" applyAlignment="1">
      <alignment horizontal="center"/>
    </xf>
    <xf numFmtId="0" fontId="5" fillId="0" borderId="0" xfId="7" applyFont="1"/>
    <xf numFmtId="0" fontId="19" fillId="0" borderId="0" xfId="7"/>
    <xf numFmtId="0" fontId="11" fillId="0" borderId="0" xfId="7" applyFont="1"/>
    <xf numFmtId="0" fontId="11" fillId="58" borderId="0" xfId="7" applyFont="1" applyFill="1" applyAlignment="1">
      <alignment horizontal="center"/>
    </xf>
    <xf numFmtId="0" fontId="109" fillId="0" borderId="0" xfId="7" applyFont="1" applyAlignment="1">
      <alignment horizontal="center"/>
    </xf>
    <xf numFmtId="0" fontId="108" fillId="0" borderId="0" xfId="7" applyFont="1"/>
    <xf numFmtId="0" fontId="12" fillId="0" borderId="0" xfId="7" applyFont="1"/>
    <xf numFmtId="0" fontId="17" fillId="0" borderId="0" xfId="7" applyFont="1"/>
    <xf numFmtId="3" fontId="0" fillId="0" borderId="0" xfId="0" applyNumberFormat="1" applyFont="1" applyAlignment="1"/>
    <xf numFmtId="42" fontId="5" fillId="0" borderId="0" xfId="9" applyNumberFormat="1" applyFont="1" applyAlignment="1">
      <alignment horizontal="right"/>
    </xf>
    <xf numFmtId="10" fontId="12" fillId="0" borderId="153" xfId="0" applyNumberFormat="1" applyFont="1" applyBorder="1" applyAlignment="1">
      <alignment horizontal="center"/>
    </xf>
    <xf numFmtId="0" fontId="12" fillId="0" borderId="199" xfId="0" applyFont="1" applyBorder="1" applyAlignment="1">
      <alignment horizontal="center"/>
    </xf>
    <xf numFmtId="10" fontId="12" fillId="0" borderId="199" xfId="0" applyNumberFormat="1" applyFont="1" applyBorder="1" applyAlignment="1">
      <alignment horizontal="center"/>
    </xf>
    <xf numFmtId="10" fontId="12" fillId="0" borderId="200" xfId="0" applyNumberFormat="1" applyFont="1" applyBorder="1" applyAlignment="1">
      <alignment horizontal="center"/>
    </xf>
    <xf numFmtId="10" fontId="12" fillId="0" borderId="202" xfId="0" applyNumberFormat="1" applyFont="1" applyBorder="1" applyAlignment="1">
      <alignment horizontal="center"/>
    </xf>
    <xf numFmtId="10" fontId="12" fillId="0" borderId="204" xfId="0" applyNumberFormat="1" applyFont="1" applyBorder="1" applyAlignment="1">
      <alignment horizontal="center"/>
    </xf>
    <xf numFmtId="10" fontId="12" fillId="0" borderId="205" xfId="0" applyNumberFormat="1" applyFont="1" applyBorder="1" applyAlignment="1">
      <alignment horizontal="center"/>
    </xf>
    <xf numFmtId="0" fontId="12" fillId="0" borderId="149" xfId="0" quotePrefix="1" applyFont="1" applyBorder="1" applyAlignment="1">
      <alignment horizontal="center"/>
    </xf>
    <xf numFmtId="10" fontId="12" fillId="0" borderId="206" xfId="0" applyNumberFormat="1" applyFont="1" applyBorder="1" applyAlignment="1">
      <alignment horizontal="center"/>
    </xf>
    <xf numFmtId="10" fontId="12" fillId="0" borderId="207" xfId="0" applyNumberFormat="1" applyFont="1" applyBorder="1" applyAlignment="1">
      <alignment horizontal="center"/>
    </xf>
    <xf numFmtId="10" fontId="12" fillId="0" borderId="250" xfId="0" applyNumberFormat="1" applyFont="1" applyBorder="1" applyAlignment="1">
      <alignment horizontal="center"/>
    </xf>
    <xf numFmtId="10" fontId="12" fillId="0" borderId="251" xfId="0" applyNumberFormat="1" applyFont="1" applyBorder="1" applyAlignment="1">
      <alignment horizontal="center"/>
    </xf>
    <xf numFmtId="10" fontId="12" fillId="0" borderId="120" xfId="0" applyNumberFormat="1" applyFont="1" applyBorder="1" applyAlignment="1">
      <alignment horizontal="center"/>
    </xf>
    <xf numFmtId="10" fontId="12" fillId="0" borderId="149" xfId="0" applyNumberFormat="1" applyFont="1" applyBorder="1" applyAlignment="1">
      <alignment horizontal="center"/>
    </xf>
    <xf numFmtId="0" fontId="111" fillId="30" borderId="122" xfId="0" applyFont="1" applyFill="1" applyBorder="1" applyAlignment="1">
      <alignment horizontal="center"/>
    </xf>
    <xf numFmtId="0" fontId="111" fillId="30" borderId="132" xfId="0" applyFont="1" applyFill="1" applyBorder="1" applyAlignment="1">
      <alignment horizontal="center"/>
    </xf>
    <xf numFmtId="0" fontId="111" fillId="30" borderId="123" xfId="0" applyFont="1" applyFill="1" applyBorder="1" applyAlignment="1">
      <alignment horizontal="center"/>
    </xf>
    <xf numFmtId="0" fontId="17" fillId="23" borderId="241" xfId="0" applyFont="1" applyFill="1" applyBorder="1" applyAlignment="1"/>
    <xf numFmtId="0" fontId="17" fillId="23" borderId="218" xfId="0" applyFont="1" applyFill="1" applyBorder="1" applyAlignment="1"/>
    <xf numFmtId="0" fontId="17" fillId="23" borderId="219" xfId="0" applyFont="1" applyFill="1" applyBorder="1" applyAlignment="1"/>
    <xf numFmtId="0" fontId="12" fillId="23" borderId="208" xfId="0" applyFont="1" applyFill="1" applyBorder="1" applyAlignment="1">
      <alignment wrapText="1"/>
    </xf>
    <xf numFmtId="0" fontId="5" fillId="23" borderId="209" xfId="0" applyFont="1" applyFill="1" applyBorder="1"/>
    <xf numFmtId="0" fontId="5" fillId="23" borderId="210" xfId="0" applyFont="1" applyFill="1" applyBorder="1"/>
    <xf numFmtId="0" fontId="5" fillId="23" borderId="208" xfId="0" applyFont="1" applyFill="1" applyBorder="1"/>
    <xf numFmtId="0" fontId="5" fillId="23" borderId="135" xfId="0" applyFont="1" applyFill="1" applyBorder="1"/>
    <xf numFmtId="10" fontId="17" fillId="0" borderId="204" xfId="0" applyNumberFormat="1" applyFont="1" applyBorder="1" applyAlignment="1">
      <alignment horizontal="center"/>
    </xf>
    <xf numFmtId="10" fontId="17" fillId="0" borderId="205" xfId="0" applyNumberFormat="1" applyFont="1" applyBorder="1" applyAlignment="1">
      <alignment horizontal="center"/>
    </xf>
    <xf numFmtId="5" fontId="17" fillId="0" borderId="215" xfId="0" applyNumberFormat="1" applyFont="1" applyBorder="1" applyAlignment="1">
      <alignment horizontal="center"/>
    </xf>
    <xf numFmtId="5" fontId="17" fillId="0" borderId="216" xfId="0" applyNumberFormat="1" applyFont="1" applyBorder="1" applyAlignment="1">
      <alignment horizontal="center"/>
    </xf>
    <xf numFmtId="10" fontId="17" fillId="0" borderId="218" xfId="0" applyNumberFormat="1" applyFont="1" applyBorder="1" applyAlignment="1">
      <alignment horizontal="center"/>
    </xf>
    <xf numFmtId="10" fontId="17" fillId="0" borderId="219" xfId="0" applyNumberFormat="1" applyFont="1" applyBorder="1" applyAlignment="1">
      <alignment horizontal="center"/>
    </xf>
    <xf numFmtId="0" fontId="11" fillId="23" borderId="136" xfId="0" applyFont="1" applyFill="1" applyBorder="1" applyAlignment="1">
      <alignment horizontal="center" vertical="center"/>
    </xf>
    <xf numFmtId="0" fontId="11" fillId="23" borderId="134" xfId="0" applyFont="1" applyFill="1" applyBorder="1" applyAlignment="1">
      <alignment horizontal="center" vertical="center"/>
    </xf>
    <xf numFmtId="0" fontId="11" fillId="23" borderId="135" xfId="0" applyFont="1" applyFill="1" applyBorder="1" applyAlignment="1">
      <alignment horizontal="center" vertical="center"/>
    </xf>
    <xf numFmtId="0" fontId="11" fillId="23" borderId="135" xfId="0" applyFont="1" applyFill="1" applyBorder="1" applyAlignment="1">
      <alignment horizontal="center" vertical="center"/>
    </xf>
    <xf numFmtId="0" fontId="11" fillId="30" borderId="217" xfId="0" applyFont="1" applyFill="1" applyBorder="1" applyAlignment="1">
      <alignment horizontal="left"/>
    </xf>
    <xf numFmtId="0" fontId="11" fillId="30" borderId="214" xfId="0" applyFont="1" applyFill="1" applyBorder="1" applyAlignment="1">
      <alignment horizontal="left"/>
    </xf>
    <xf numFmtId="0" fontId="11" fillId="30" borderId="203" xfId="0" applyFont="1" applyFill="1" applyBorder="1" applyAlignment="1">
      <alignment horizontal="left"/>
    </xf>
    <xf numFmtId="10" fontId="17" fillId="0" borderId="241" xfId="0" applyNumberFormat="1" applyFont="1" applyBorder="1" applyAlignment="1">
      <alignment horizontal="center"/>
    </xf>
    <xf numFmtId="5" fontId="17" fillId="0" borderId="152" xfId="0" applyNumberFormat="1" applyFont="1" applyBorder="1" applyAlignment="1">
      <alignment horizontal="center"/>
    </xf>
    <xf numFmtId="10" fontId="17" fillId="0" borderId="207" xfId="0" applyNumberFormat="1" applyFont="1" applyBorder="1" applyAlignment="1">
      <alignment horizontal="center"/>
    </xf>
    <xf numFmtId="0" fontId="11" fillId="30" borderId="219" xfId="0" applyFont="1" applyFill="1" applyBorder="1" applyAlignment="1">
      <alignment horizontal="left"/>
    </xf>
    <xf numFmtId="0" fontId="11" fillId="30" borderId="216" xfId="0" applyFont="1" applyFill="1" applyBorder="1" applyAlignment="1">
      <alignment horizontal="left"/>
    </xf>
    <xf numFmtId="0" fontId="11" fillId="30" borderId="205" xfId="0" applyFont="1" applyFill="1" applyBorder="1" applyAlignment="1">
      <alignment horizontal="left"/>
    </xf>
    <xf numFmtId="9" fontId="5" fillId="0" borderId="0" xfId="7" applyNumberFormat="1" applyFont="1" applyBorder="1" applyAlignment="1">
      <alignment horizontal="center"/>
    </xf>
    <xf numFmtId="9" fontId="5" fillId="0" borderId="128" xfId="7" applyNumberFormat="1" applyFont="1" applyBorder="1" applyAlignment="1">
      <alignment horizontal="center"/>
    </xf>
    <xf numFmtId="0" fontId="5" fillId="0" borderId="121" xfId="7" applyFont="1" applyBorder="1"/>
    <xf numFmtId="9" fontId="5" fillId="0" borderId="126" xfId="7" applyNumberFormat="1" applyFont="1" applyBorder="1" applyAlignment="1">
      <alignment horizontal="center"/>
    </xf>
    <xf numFmtId="0" fontId="5" fillId="0" borderId="127" xfId="7" applyFont="1" applyBorder="1"/>
    <xf numFmtId="0" fontId="11" fillId="61" borderId="122" xfId="7" applyFont="1" applyFill="1" applyBorder="1" applyAlignment="1">
      <alignment horizontal="center"/>
    </xf>
    <xf numFmtId="0" fontId="15" fillId="52" borderId="132" xfId="7" applyFont="1" applyFill="1" applyBorder="1"/>
    <xf numFmtId="0" fontId="15" fillId="52" borderId="123" xfId="7" applyFont="1" applyFill="1" applyBorder="1"/>
    <xf numFmtId="0" fontId="5" fillId="0" borderId="122" xfId="7" applyFont="1" applyBorder="1" applyAlignment="1">
      <alignment horizontal="center"/>
    </xf>
    <xf numFmtId="0" fontId="5" fillId="0" borderId="132" xfId="7" applyFont="1" applyBorder="1" applyAlignment="1">
      <alignment horizontal="center"/>
    </xf>
    <xf numFmtId="0" fontId="5" fillId="0" borderId="123" xfId="7" applyFont="1" applyBorder="1" applyAlignment="1">
      <alignment horizontal="center"/>
    </xf>
    <xf numFmtId="9" fontId="5" fillId="0" borderId="122" xfId="7" applyNumberFormat="1" applyFont="1" applyBorder="1" applyAlignment="1">
      <alignment horizontal="center"/>
    </xf>
    <xf numFmtId="9" fontId="5" fillId="0" borderId="132" xfId="7" applyNumberFormat="1" applyFont="1" applyBorder="1" applyAlignment="1">
      <alignment horizontal="center"/>
    </xf>
    <xf numFmtId="0" fontId="5" fillId="0" borderId="123" xfId="7" applyFont="1" applyBorder="1"/>
    <xf numFmtId="177" fontId="5" fillId="0" borderId="125" xfId="7" applyNumberFormat="1" applyFont="1" applyBorder="1" applyAlignment="1">
      <alignment horizontal="center"/>
    </xf>
    <xf numFmtId="177" fontId="5" fillId="0" borderId="127" xfId="8" applyNumberFormat="1" applyFont="1" applyBorder="1" applyAlignment="1">
      <alignment horizontal="center"/>
    </xf>
    <xf numFmtId="0" fontId="5" fillId="0" borderId="136" xfId="7" applyFont="1" applyBorder="1"/>
    <xf numFmtId="0" fontId="5" fillId="0" borderId="135" xfId="7" applyFont="1" applyBorder="1"/>
  </cellXfs>
  <cellStyles count="10">
    <cellStyle name="Currency 2" xfId="3" xr:uid="{A65120E7-37D8-BF4F-AE39-1493FCD628EC}"/>
    <cellStyle name="Currency 3" xfId="9" xr:uid="{17F00958-C186-4D2F-89E1-BE5434D55834}"/>
    <cellStyle name="Hyperlink" xfId="1" builtinId="8"/>
    <cellStyle name="Normal" xfId="0" builtinId="0"/>
    <cellStyle name="Normal 2" xfId="2" xr:uid="{DABD3814-AB8D-0846-BD0F-C22045DC128D}"/>
    <cellStyle name="Normal 3" xfId="5" xr:uid="{A90E23D5-00D3-B347-B5CF-28AADA215B43}"/>
    <cellStyle name="Normal 4" xfId="7" xr:uid="{E219C9F9-1B0F-754C-AE7E-50526EE8D1EF}"/>
    <cellStyle name="Per cent 2" xfId="4" xr:uid="{507B8F31-E721-6B42-A71C-E1DDB0357240}"/>
    <cellStyle name="Per cent 3" xfId="6" xr:uid="{CAE0CD2F-2174-EF4D-867D-62190DEA549E}"/>
    <cellStyle name="Percent 2" xfId="8" xr:uid="{145A2B9A-E6B1-4A86-B190-ADF88F2A3E50}"/>
  </cellStyles>
  <dxfs count="10">
    <dxf>
      <font>
        <sz val="12"/>
      </font>
    </dxf>
    <dxf>
      <font>
        <sz val="12"/>
      </font>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colors>
    <mruColors>
      <color rgb="FFFCE5CD"/>
      <color rgb="FFFFC599"/>
      <color rgb="FFDAD2E8"/>
      <color rgb="FF04FF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PupPal</a:t>
            </a:r>
            <a:r>
              <a:rPr lang="en-US" baseline="0"/>
              <a:t> Demand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'MK Purchase Intent &amp; Price'!$L$15</c:f>
              <c:strCache>
                <c:ptCount val="1"/>
                <c:pt idx="0">
                  <c:v>Cumulative PI</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2"/>
            <c:dispRSqr val="0"/>
            <c:dispEq val="1"/>
            <c:trendlineLbl>
              <c:layout>
                <c:manualLayout>
                  <c:x val="1.1568910375864444E-2"/>
                  <c:y val="-0.3173832471053594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'MK Purchase Intent &amp; Price'!$K$16:$K$20</c:f>
              <c:numCache>
                <c:formatCode>"$"#,##0.00</c:formatCode>
                <c:ptCount val="5"/>
                <c:pt idx="0">
                  <c:v>195.5</c:v>
                </c:pt>
                <c:pt idx="1">
                  <c:v>259.5</c:v>
                </c:pt>
                <c:pt idx="2">
                  <c:v>323.5</c:v>
                </c:pt>
                <c:pt idx="3">
                  <c:v>387.5</c:v>
                </c:pt>
                <c:pt idx="4">
                  <c:v>451.5</c:v>
                </c:pt>
              </c:numCache>
            </c:numRef>
          </c:xVal>
          <c:yVal>
            <c:numRef>
              <c:f>'MK Purchase Intent &amp; Price'!$L$16:$L$20</c:f>
              <c:numCache>
                <c:formatCode>0.00%</c:formatCode>
                <c:ptCount val="5"/>
                <c:pt idx="0">
                  <c:v>8.4599999999999995E-2</c:v>
                </c:pt>
                <c:pt idx="1">
                  <c:v>4.2299999999999997E-2</c:v>
                </c:pt>
                <c:pt idx="2">
                  <c:v>2.1499999999999998E-2</c:v>
                </c:pt>
                <c:pt idx="3">
                  <c:v>6.1999999999999998E-3</c:v>
                </c:pt>
                <c:pt idx="4">
                  <c:v>6.1999999999999998E-3</c:v>
                </c:pt>
              </c:numCache>
            </c:numRef>
          </c:yVal>
          <c:smooth val="0"/>
          <c:extLst>
            <c:ext xmlns:c16="http://schemas.microsoft.com/office/drawing/2014/chart" uri="{C3380CC4-5D6E-409C-BE32-E72D297353CC}">
              <c16:uniqueId val="{00000000-9C93-3B4F-8E24-FC72C6DB59C7}"/>
            </c:ext>
          </c:extLst>
        </c:ser>
        <c:dLbls>
          <c:dLblPos val="t"/>
          <c:showLegendKey val="0"/>
          <c:showVal val="1"/>
          <c:showCatName val="0"/>
          <c:showSerName val="0"/>
          <c:showPercent val="0"/>
          <c:showBubbleSize val="0"/>
        </c:dLbls>
        <c:axId val="72164144"/>
        <c:axId val="315026672"/>
      </c:scatterChart>
      <c:valAx>
        <c:axId val="72164144"/>
        <c:scaling>
          <c:orientation val="minMax"/>
          <c:min val="1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026672"/>
        <c:crosses val="autoZero"/>
        <c:crossBetween val="midCat"/>
      </c:valAx>
      <c:valAx>
        <c:axId val="31502667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PI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64144"/>
        <c:crosses val="autoZero"/>
        <c:crossBetween val="midCat"/>
      </c:valAx>
      <c:spPr>
        <a:noFill/>
        <a:ln>
          <a:noFill/>
        </a:ln>
        <a:effectLst/>
      </c:spPr>
    </c:plotArea>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Safety Stock vs. Cycle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'OM Year0-5 Inventory Management'!$B$148</c:f>
              <c:strCache>
                <c:ptCount val="1"/>
                <c:pt idx="0">
                  <c:v>Safety Stock</c:v>
                </c:pt>
              </c:strCache>
            </c:strRef>
          </c:tx>
          <c:spPr>
            <a:solidFill>
              <a:schemeClr val="accent5"/>
            </a:solidFill>
            <a:ln>
              <a:noFill/>
            </a:ln>
            <a:effectLst/>
          </c:spPr>
          <c:invertIfNegative val="0"/>
          <c:cat>
            <c:numRef>
              <c:f>'OM Year0-5 Inventory Management'!$A$149:$A$153</c:f>
              <c:numCache>
                <c:formatCode>General</c:formatCode>
                <c:ptCount val="5"/>
                <c:pt idx="0">
                  <c:v>1</c:v>
                </c:pt>
                <c:pt idx="1">
                  <c:v>2</c:v>
                </c:pt>
                <c:pt idx="2">
                  <c:v>3</c:v>
                </c:pt>
                <c:pt idx="3">
                  <c:v>4</c:v>
                </c:pt>
                <c:pt idx="4">
                  <c:v>5</c:v>
                </c:pt>
              </c:numCache>
            </c:numRef>
          </c:cat>
          <c:val>
            <c:numRef>
              <c:f>'OM Year0-5 Inventory Management'!$B$149:$B$153</c:f>
              <c:numCache>
                <c:formatCode>#,##0</c:formatCode>
                <c:ptCount val="5"/>
                <c:pt idx="0">
                  <c:v>1552.8426036251399</c:v>
                </c:pt>
                <c:pt idx="1">
                  <c:v>2638.4218550251549</c:v>
                </c:pt>
                <c:pt idx="2">
                  <c:v>7024.6937134726631</c:v>
                </c:pt>
                <c:pt idx="3">
                  <c:v>8935.9985563119371</c:v>
                </c:pt>
                <c:pt idx="4">
                  <c:v>11654.006058476767</c:v>
                </c:pt>
              </c:numCache>
            </c:numRef>
          </c:val>
          <c:extLst>
            <c:ext xmlns:c16="http://schemas.microsoft.com/office/drawing/2014/chart" uri="{C3380CC4-5D6E-409C-BE32-E72D297353CC}">
              <c16:uniqueId val="{00000000-85FC-794B-854C-F81D0A4F00AE}"/>
            </c:ext>
          </c:extLst>
        </c:ser>
        <c:ser>
          <c:idx val="1"/>
          <c:order val="1"/>
          <c:tx>
            <c:strRef>
              <c:f>'OM Year0-5 Inventory Management'!$C$148</c:f>
              <c:strCache>
                <c:ptCount val="1"/>
                <c:pt idx="0">
                  <c:v>Cycle Stock</c:v>
                </c:pt>
              </c:strCache>
            </c:strRef>
          </c:tx>
          <c:spPr>
            <a:solidFill>
              <a:schemeClr val="accent1"/>
            </a:solidFill>
            <a:ln>
              <a:noFill/>
            </a:ln>
            <a:effectLst/>
          </c:spPr>
          <c:invertIfNegative val="0"/>
          <c:cat>
            <c:numRef>
              <c:f>'OM Year0-5 Inventory Management'!$A$149:$A$153</c:f>
              <c:numCache>
                <c:formatCode>General</c:formatCode>
                <c:ptCount val="5"/>
                <c:pt idx="0">
                  <c:v>1</c:v>
                </c:pt>
                <c:pt idx="1">
                  <c:v>2</c:v>
                </c:pt>
                <c:pt idx="2">
                  <c:v>3</c:v>
                </c:pt>
                <c:pt idx="3">
                  <c:v>4</c:v>
                </c:pt>
                <c:pt idx="4">
                  <c:v>5</c:v>
                </c:pt>
              </c:numCache>
            </c:numRef>
          </c:cat>
          <c:val>
            <c:numRef>
              <c:f>'OM Year0-5 Inventory Management'!$C$149:$C$153</c:f>
              <c:numCache>
                <c:formatCode>#,##0</c:formatCode>
                <c:ptCount val="5"/>
                <c:pt idx="0">
                  <c:v>514.00718184874063</c:v>
                </c:pt>
                <c:pt idx="1">
                  <c:v>708.345233770096</c:v>
                </c:pt>
                <c:pt idx="2">
                  <c:v>1590.0123332286498</c:v>
                </c:pt>
                <c:pt idx="3">
                  <c:v>1972.3322460753154</c:v>
                </c:pt>
                <c:pt idx="4">
                  <c:v>2500.9246026784845</c:v>
                </c:pt>
              </c:numCache>
            </c:numRef>
          </c:val>
          <c:extLst>
            <c:ext xmlns:c16="http://schemas.microsoft.com/office/drawing/2014/chart" uri="{C3380CC4-5D6E-409C-BE32-E72D297353CC}">
              <c16:uniqueId val="{00000001-85FC-794B-854C-F81D0A4F00AE}"/>
            </c:ext>
          </c:extLst>
        </c:ser>
        <c:dLbls>
          <c:showLegendKey val="0"/>
          <c:showVal val="0"/>
          <c:showCatName val="0"/>
          <c:showSerName val="0"/>
          <c:showPercent val="0"/>
          <c:showBubbleSize val="0"/>
        </c:dLbls>
        <c:gapWidth val="219"/>
        <c:overlap val="-27"/>
        <c:axId val="1642483663"/>
        <c:axId val="2038408639"/>
      </c:barChart>
      <c:catAx>
        <c:axId val="1642483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408639"/>
        <c:crosses val="autoZero"/>
        <c:auto val="1"/>
        <c:lblAlgn val="ctr"/>
        <c:lblOffset val="100"/>
        <c:noMultiLvlLbl val="0"/>
      </c:catAx>
      <c:valAx>
        <c:axId val="2038408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483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Safety Stock vs. Forecasted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'OM Year0-5 Inventory Management'!$E$148</c:f>
              <c:strCache>
                <c:ptCount val="1"/>
                <c:pt idx="0">
                  <c:v>Safety Stock</c:v>
                </c:pt>
              </c:strCache>
            </c:strRef>
          </c:tx>
          <c:spPr>
            <a:solidFill>
              <a:schemeClr val="accent5"/>
            </a:solidFill>
            <a:ln>
              <a:noFill/>
            </a:ln>
            <a:effectLst/>
          </c:spPr>
          <c:invertIfNegative val="0"/>
          <c:cat>
            <c:numRef>
              <c:f>'OM Year0-5 Inventory Management'!$D$149:$D$153</c:f>
              <c:numCache>
                <c:formatCode>General</c:formatCode>
                <c:ptCount val="5"/>
                <c:pt idx="0">
                  <c:v>1</c:v>
                </c:pt>
                <c:pt idx="1">
                  <c:v>2</c:v>
                </c:pt>
                <c:pt idx="2">
                  <c:v>3</c:v>
                </c:pt>
                <c:pt idx="3">
                  <c:v>4</c:v>
                </c:pt>
                <c:pt idx="4">
                  <c:v>5</c:v>
                </c:pt>
              </c:numCache>
            </c:numRef>
          </c:cat>
          <c:val>
            <c:numRef>
              <c:f>'OM Year0-5 Inventory Management'!$E$149:$E$153</c:f>
              <c:numCache>
                <c:formatCode>#,##0</c:formatCode>
                <c:ptCount val="5"/>
                <c:pt idx="0">
                  <c:v>1552.8426036251399</c:v>
                </c:pt>
                <c:pt idx="1">
                  <c:v>2638.4218550251549</c:v>
                </c:pt>
                <c:pt idx="2">
                  <c:v>7024.6937134726631</c:v>
                </c:pt>
                <c:pt idx="3">
                  <c:v>8935.9985563119371</c:v>
                </c:pt>
                <c:pt idx="4">
                  <c:v>11654.006058476767</c:v>
                </c:pt>
              </c:numCache>
            </c:numRef>
          </c:val>
          <c:extLst>
            <c:ext xmlns:c16="http://schemas.microsoft.com/office/drawing/2014/chart" uri="{C3380CC4-5D6E-409C-BE32-E72D297353CC}">
              <c16:uniqueId val="{00000000-1A1C-9D4A-BF6A-2319A1C5027F}"/>
            </c:ext>
          </c:extLst>
        </c:ser>
        <c:dLbls>
          <c:showLegendKey val="0"/>
          <c:showVal val="0"/>
          <c:showCatName val="0"/>
          <c:showSerName val="0"/>
          <c:showPercent val="0"/>
          <c:showBubbleSize val="0"/>
        </c:dLbls>
        <c:gapWidth val="150"/>
        <c:axId val="1714323599"/>
        <c:axId val="1660428735"/>
      </c:barChart>
      <c:lineChart>
        <c:grouping val="standard"/>
        <c:varyColors val="0"/>
        <c:ser>
          <c:idx val="1"/>
          <c:order val="1"/>
          <c:tx>
            <c:strRef>
              <c:f>'OM Year0-5 Inventory Management'!$F$148</c:f>
              <c:strCache>
                <c:ptCount val="1"/>
                <c:pt idx="0">
                  <c:v>Forecasted Demand</c:v>
                </c:pt>
              </c:strCache>
            </c:strRef>
          </c:tx>
          <c:spPr>
            <a:ln w="28575" cap="rnd">
              <a:solidFill>
                <a:schemeClr val="accent1"/>
              </a:solidFill>
              <a:round/>
            </a:ln>
            <a:effectLst/>
          </c:spPr>
          <c:marker>
            <c:symbol val="none"/>
          </c:marker>
          <c:cat>
            <c:numRef>
              <c:f>'OM Year0-5 Inventory Management'!$D$149:$D$153</c:f>
              <c:numCache>
                <c:formatCode>General</c:formatCode>
                <c:ptCount val="5"/>
                <c:pt idx="0">
                  <c:v>1</c:v>
                </c:pt>
                <c:pt idx="1">
                  <c:v>2</c:v>
                </c:pt>
                <c:pt idx="2">
                  <c:v>3</c:v>
                </c:pt>
                <c:pt idx="3">
                  <c:v>4</c:v>
                </c:pt>
                <c:pt idx="4">
                  <c:v>5</c:v>
                </c:pt>
              </c:numCache>
            </c:numRef>
          </c:cat>
          <c:val>
            <c:numRef>
              <c:f>'OM Year0-5 Inventory Management'!$F$149:$F$153</c:f>
              <c:numCache>
                <c:formatCode>#,##0</c:formatCode>
                <c:ptCount val="5"/>
                <c:pt idx="0">
                  <c:v>12788.862937661439</c:v>
                </c:pt>
                <c:pt idx="1">
                  <c:v>18290.759828011393</c:v>
                </c:pt>
                <c:pt idx="2">
                  <c:v>44086.151570867165</c:v>
                </c:pt>
                <c:pt idx="3">
                  <c:v>55491.996238476371</c:v>
                </c:pt>
                <c:pt idx="4">
                  <c:v>71384.076452087247</c:v>
                </c:pt>
              </c:numCache>
            </c:numRef>
          </c:val>
          <c:smooth val="0"/>
          <c:extLst>
            <c:ext xmlns:c16="http://schemas.microsoft.com/office/drawing/2014/chart" uri="{C3380CC4-5D6E-409C-BE32-E72D297353CC}">
              <c16:uniqueId val="{00000001-1A1C-9D4A-BF6A-2319A1C5027F}"/>
            </c:ext>
          </c:extLst>
        </c:ser>
        <c:dLbls>
          <c:showLegendKey val="0"/>
          <c:showVal val="0"/>
          <c:showCatName val="0"/>
          <c:showSerName val="0"/>
          <c:showPercent val="0"/>
          <c:showBubbleSize val="0"/>
        </c:dLbls>
        <c:marker val="1"/>
        <c:smooth val="0"/>
        <c:axId val="1714282127"/>
        <c:axId val="1660910287"/>
      </c:lineChart>
      <c:catAx>
        <c:axId val="1714323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28735"/>
        <c:auto val="1"/>
        <c:lblAlgn val="ctr"/>
        <c:lblOffset val="100"/>
        <c:noMultiLvlLbl val="0"/>
      </c:catAx>
      <c:valAx>
        <c:axId val="1660428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Units of Safety Stock</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323599"/>
        <c:crossBetween val="between"/>
      </c:valAx>
      <c:valAx>
        <c:axId val="1660910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a:t>
                </a:r>
                <a:r>
                  <a:rPr lang="en-GB" baseline="0"/>
                  <a:t> of Units Demanded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282127"/>
        <c:crosses val="max"/>
        <c:crossBetween val="between"/>
      </c:valAx>
      <c:catAx>
        <c:axId val="1714282127"/>
        <c:scaling>
          <c:orientation val="minMax"/>
        </c:scaling>
        <c:delete val="1"/>
        <c:axPos val="b"/>
        <c:numFmt formatCode="General" sourceLinked="1"/>
        <c:majorTickMark val="none"/>
        <c:minorTickMark val="none"/>
        <c:tickLblPos val="nextTo"/>
        <c:crossAx val="166091028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Factory</a:t>
            </a:r>
            <a:r>
              <a:rPr lang="en-GB" baseline="0"/>
              <a:t> Capacity vs. Forecasted Demand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'OM Year0-5 Inventory Management'!$I$148</c:f>
              <c:strCache>
                <c:ptCount val="1"/>
                <c:pt idx="0">
                  <c:v>Factory Capcity</c:v>
                </c:pt>
              </c:strCache>
            </c:strRef>
          </c:tx>
          <c:spPr>
            <a:solidFill>
              <a:schemeClr val="accent5"/>
            </a:solidFill>
            <a:ln>
              <a:noFill/>
            </a:ln>
            <a:effectLst/>
          </c:spPr>
          <c:invertIfNegative val="0"/>
          <c:cat>
            <c:numRef>
              <c:f>'OM Year0-5 Inventory Management'!$H$149:$H$153</c:f>
              <c:numCache>
                <c:formatCode>General</c:formatCode>
                <c:ptCount val="5"/>
                <c:pt idx="0">
                  <c:v>1</c:v>
                </c:pt>
                <c:pt idx="1">
                  <c:v>2</c:v>
                </c:pt>
                <c:pt idx="2">
                  <c:v>3</c:v>
                </c:pt>
                <c:pt idx="3">
                  <c:v>4</c:v>
                </c:pt>
                <c:pt idx="4">
                  <c:v>5</c:v>
                </c:pt>
              </c:numCache>
            </c:numRef>
          </c:cat>
          <c:val>
            <c:numRef>
              <c:f>'OM Year0-5 Inventory Management'!$I$149:$I$153</c:f>
              <c:numCache>
                <c:formatCode>#,##0</c:formatCode>
                <c:ptCount val="5"/>
                <c:pt idx="0">
                  <c:v>13440</c:v>
                </c:pt>
                <c:pt idx="1">
                  <c:v>21120</c:v>
                </c:pt>
                <c:pt idx="2">
                  <c:v>44160</c:v>
                </c:pt>
                <c:pt idx="3">
                  <c:v>57600</c:v>
                </c:pt>
                <c:pt idx="4">
                  <c:v>71040</c:v>
                </c:pt>
              </c:numCache>
            </c:numRef>
          </c:val>
          <c:extLst>
            <c:ext xmlns:c16="http://schemas.microsoft.com/office/drawing/2014/chart" uri="{C3380CC4-5D6E-409C-BE32-E72D297353CC}">
              <c16:uniqueId val="{00000000-98A1-3640-AC2E-0A42A5539878}"/>
            </c:ext>
          </c:extLst>
        </c:ser>
        <c:dLbls>
          <c:showLegendKey val="0"/>
          <c:showVal val="0"/>
          <c:showCatName val="0"/>
          <c:showSerName val="0"/>
          <c:showPercent val="0"/>
          <c:showBubbleSize val="0"/>
        </c:dLbls>
        <c:gapWidth val="150"/>
        <c:axId val="1659351839"/>
        <c:axId val="1715795487"/>
      </c:barChart>
      <c:lineChart>
        <c:grouping val="standard"/>
        <c:varyColors val="0"/>
        <c:ser>
          <c:idx val="1"/>
          <c:order val="1"/>
          <c:tx>
            <c:strRef>
              <c:f>'OM Year0-5 Inventory Management'!$J$148</c:f>
              <c:strCache>
                <c:ptCount val="1"/>
                <c:pt idx="0">
                  <c:v>Forecasted Demand</c:v>
                </c:pt>
              </c:strCache>
            </c:strRef>
          </c:tx>
          <c:spPr>
            <a:ln w="28575" cap="rnd">
              <a:solidFill>
                <a:schemeClr val="accent1"/>
              </a:solidFill>
              <a:round/>
            </a:ln>
            <a:effectLst/>
          </c:spPr>
          <c:marker>
            <c:symbol val="none"/>
          </c:marker>
          <c:cat>
            <c:numRef>
              <c:f>'OM Year0-5 Inventory Management'!$H$149:$H$153</c:f>
              <c:numCache>
                <c:formatCode>General</c:formatCode>
                <c:ptCount val="5"/>
                <c:pt idx="0">
                  <c:v>1</c:v>
                </c:pt>
                <c:pt idx="1">
                  <c:v>2</c:v>
                </c:pt>
                <c:pt idx="2">
                  <c:v>3</c:v>
                </c:pt>
                <c:pt idx="3">
                  <c:v>4</c:v>
                </c:pt>
                <c:pt idx="4">
                  <c:v>5</c:v>
                </c:pt>
              </c:numCache>
            </c:numRef>
          </c:cat>
          <c:val>
            <c:numRef>
              <c:f>'OM Year0-5 Inventory Management'!$J$149:$J$153</c:f>
              <c:numCache>
                <c:formatCode>#,##0</c:formatCode>
                <c:ptCount val="5"/>
                <c:pt idx="0">
                  <c:v>12788.862937661439</c:v>
                </c:pt>
                <c:pt idx="1">
                  <c:v>18290.759828011393</c:v>
                </c:pt>
                <c:pt idx="2">
                  <c:v>44086.151570867165</c:v>
                </c:pt>
                <c:pt idx="3">
                  <c:v>55491.996238476371</c:v>
                </c:pt>
                <c:pt idx="4">
                  <c:v>71384.076452087247</c:v>
                </c:pt>
              </c:numCache>
            </c:numRef>
          </c:val>
          <c:smooth val="0"/>
          <c:extLst>
            <c:ext xmlns:c16="http://schemas.microsoft.com/office/drawing/2014/chart" uri="{C3380CC4-5D6E-409C-BE32-E72D297353CC}">
              <c16:uniqueId val="{00000001-98A1-3640-AC2E-0A42A5539878}"/>
            </c:ext>
          </c:extLst>
        </c:ser>
        <c:dLbls>
          <c:showLegendKey val="0"/>
          <c:showVal val="0"/>
          <c:showCatName val="0"/>
          <c:showSerName val="0"/>
          <c:showPercent val="0"/>
          <c:showBubbleSize val="0"/>
        </c:dLbls>
        <c:marker val="1"/>
        <c:smooth val="0"/>
        <c:axId val="1659720399"/>
        <c:axId val="1654942767"/>
      </c:lineChart>
      <c:catAx>
        <c:axId val="165935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795487"/>
        <c:auto val="1"/>
        <c:lblAlgn val="ctr"/>
        <c:lblOffset val="100"/>
        <c:noMultiLvlLbl val="0"/>
      </c:catAx>
      <c:valAx>
        <c:axId val="17157954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No. of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351839"/>
        <c:crossBetween val="between"/>
      </c:valAx>
      <c:valAx>
        <c:axId val="1654942767"/>
        <c:scaling>
          <c:orientation val="minMax"/>
        </c:scaling>
        <c:delete val="1"/>
        <c:axPos val="r"/>
        <c:numFmt formatCode="#,##0" sourceLinked="1"/>
        <c:majorTickMark val="none"/>
        <c:minorTickMark val="none"/>
        <c:tickLblPos val="nextTo"/>
        <c:crossAx val="1659720399"/>
        <c:crosses val="max"/>
        <c:crossBetween val="between"/>
      </c:valAx>
      <c:catAx>
        <c:axId val="1659720399"/>
        <c:scaling>
          <c:orientation val="minMax"/>
        </c:scaling>
        <c:delete val="1"/>
        <c:axPos val="b"/>
        <c:numFmt formatCode="General" sourceLinked="1"/>
        <c:majorTickMark val="none"/>
        <c:minorTickMark val="none"/>
        <c:tickLblPos val="nextTo"/>
        <c:crossAx val="165494276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chemeClr val="dk1"/>
                </a:solidFill>
                <a:latin typeface="+mn-lt"/>
              </a:defRPr>
            </a:pPr>
            <a:r>
              <a:rPr lang="en-US" b="0">
                <a:solidFill>
                  <a:schemeClr val="dk1"/>
                </a:solidFill>
                <a:latin typeface="+mn-lt"/>
              </a:rPr>
              <a:t>Year 0</a:t>
            </a:r>
          </a:p>
        </c:rich>
      </c:tx>
      <c:overlay val="0"/>
    </c:title>
    <c:autoTitleDeleted val="0"/>
    <c:plotArea>
      <c:layout/>
      <c:pieChart>
        <c:varyColors val="1"/>
        <c:ser>
          <c:idx val="0"/>
          <c:order val="0"/>
          <c:dPt>
            <c:idx val="0"/>
            <c:bubble3D val="0"/>
            <c:spPr>
              <a:solidFill>
                <a:schemeClr val="accent4"/>
              </a:solidFill>
            </c:spPr>
            <c:extLst>
              <c:ext xmlns:c16="http://schemas.microsoft.com/office/drawing/2014/chart" uri="{C3380CC4-5D6E-409C-BE32-E72D297353CC}">
                <c16:uniqueId val="{00000001-1808-4CDD-8F40-FD51F745EA3D}"/>
              </c:ext>
            </c:extLst>
          </c:dPt>
          <c:dPt>
            <c:idx val="1"/>
            <c:bubble3D val="0"/>
            <c:spPr>
              <a:solidFill>
                <a:srgbClr val="EA4335"/>
              </a:solidFill>
            </c:spPr>
            <c:extLst>
              <c:ext xmlns:c16="http://schemas.microsoft.com/office/drawing/2014/chart" uri="{C3380CC4-5D6E-409C-BE32-E72D297353CC}">
                <c16:uniqueId val="{00000003-1808-4CDD-8F40-FD51F745EA3D}"/>
              </c:ext>
            </c:extLst>
          </c:dPt>
          <c:dPt>
            <c:idx val="2"/>
            <c:bubble3D val="0"/>
            <c:spPr>
              <a:solidFill>
                <a:srgbClr val="FBBC04"/>
              </a:solidFill>
            </c:spPr>
            <c:extLst>
              <c:ext xmlns:c16="http://schemas.microsoft.com/office/drawing/2014/chart" uri="{C3380CC4-5D6E-409C-BE32-E72D297353CC}">
                <c16:uniqueId val="{00000005-1808-4CDD-8F40-FD51F745EA3D}"/>
              </c:ext>
            </c:extLst>
          </c:dPt>
          <c:dPt>
            <c:idx val="3"/>
            <c:bubble3D val="0"/>
            <c:spPr>
              <a:solidFill>
                <a:srgbClr val="FF0000"/>
              </a:solidFill>
            </c:spPr>
            <c:extLst>
              <c:ext xmlns:c16="http://schemas.microsoft.com/office/drawing/2014/chart" uri="{C3380CC4-5D6E-409C-BE32-E72D297353CC}">
                <c16:uniqueId val="{00000007-1808-4CDD-8F40-FD51F745EA3D}"/>
              </c:ext>
            </c:extLst>
          </c:dPt>
          <c:dPt>
            <c:idx val="4"/>
            <c:bubble3D val="0"/>
            <c:spPr>
              <a:solidFill>
                <a:srgbClr val="FF6D01"/>
              </a:solidFill>
            </c:spPr>
            <c:extLst>
              <c:ext xmlns:c16="http://schemas.microsoft.com/office/drawing/2014/chart" uri="{C3380CC4-5D6E-409C-BE32-E72D297353CC}">
                <c16:uniqueId val="{00000009-1808-4CDD-8F40-FD51F745EA3D}"/>
              </c:ext>
            </c:extLst>
          </c:dPt>
          <c:dPt>
            <c:idx val="5"/>
            <c:bubble3D val="0"/>
            <c:spPr>
              <a:solidFill>
                <a:srgbClr val="9900FF"/>
              </a:solidFill>
            </c:spPr>
            <c:extLst>
              <c:ext xmlns:c16="http://schemas.microsoft.com/office/drawing/2014/chart" uri="{C3380CC4-5D6E-409C-BE32-E72D297353CC}">
                <c16:uniqueId val="{0000000B-1808-4CDD-8F40-FD51F745EA3D}"/>
              </c:ext>
            </c:extLst>
          </c:dPt>
          <c:dPt>
            <c:idx val="6"/>
            <c:bubble3D val="0"/>
            <c:spPr>
              <a:solidFill>
                <a:srgbClr val="7BAAF7"/>
              </a:solidFill>
            </c:spPr>
            <c:extLst>
              <c:ext xmlns:c16="http://schemas.microsoft.com/office/drawing/2014/chart" uri="{C3380CC4-5D6E-409C-BE32-E72D297353CC}">
                <c16:uniqueId val="{0000000D-1808-4CDD-8F40-FD51F745EA3D}"/>
              </c:ext>
            </c:extLst>
          </c:dPt>
          <c:cat>
            <c:strRef>
              <c:f>'OM Costs Pie Charts Y0-Y5'!$A$14:$A$20</c:f>
              <c:strCache>
                <c:ptCount val="7"/>
                <c:pt idx="0">
                  <c:v>Facility Costs</c:v>
                </c:pt>
                <c:pt idx="1">
                  <c:v>Staffing</c:v>
                </c:pt>
                <c:pt idx="2">
                  <c:v>Software</c:v>
                </c:pt>
                <c:pt idx="3">
                  <c:v>Hardware</c:v>
                </c:pt>
                <c:pt idx="4">
                  <c:v>IS</c:v>
                </c:pt>
                <c:pt idx="5">
                  <c:v>Machines</c:v>
                </c:pt>
                <c:pt idx="6">
                  <c:v>Transit Vehicles</c:v>
                </c:pt>
              </c:strCache>
            </c:strRef>
          </c:cat>
          <c:val>
            <c:numRef>
              <c:f>'OM Costs Pie Charts Y0-Y5'!$B$14:$B$20</c:f>
              <c:numCache>
                <c:formatCode>0.00%</c:formatCode>
                <c:ptCount val="7"/>
                <c:pt idx="0">
                  <c:v>0.39755676959373937</c:v>
                </c:pt>
                <c:pt idx="1">
                  <c:v>0.16893550310979483</c:v>
                </c:pt>
                <c:pt idx="2">
                  <c:v>5.7711268507609449E-3</c:v>
                </c:pt>
                <c:pt idx="3">
                  <c:v>1.4427817126902363E-2</c:v>
                </c:pt>
                <c:pt idx="4">
                  <c:v>3.2318310364261292E-3</c:v>
                </c:pt>
                <c:pt idx="5">
                  <c:v>8.6893848639763488E-2</c:v>
                </c:pt>
                <c:pt idx="6">
                  <c:v>0.32318310364261293</c:v>
                </c:pt>
              </c:numCache>
            </c:numRef>
          </c:val>
          <c:extLst>
            <c:ext xmlns:c16="http://schemas.microsoft.com/office/drawing/2014/chart" uri="{C3380CC4-5D6E-409C-BE32-E72D297353CC}">
              <c16:uniqueId val="{0000000E-1808-4CDD-8F40-FD51F745EA3D}"/>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chemeClr val="dk1"/>
                </a:solidFill>
                <a:latin typeface="+mn-lt"/>
              </a:defRPr>
            </a:pPr>
            <a:r>
              <a:rPr lang="en-US" b="0">
                <a:solidFill>
                  <a:schemeClr val="dk1"/>
                </a:solidFill>
                <a:latin typeface="+mn-lt"/>
              </a:rPr>
              <a:t>Year 1</a:t>
            </a:r>
          </a:p>
        </c:rich>
      </c:tx>
      <c:overlay val="0"/>
    </c:title>
    <c:autoTitleDeleted val="0"/>
    <c:plotArea>
      <c:layout/>
      <c:pieChart>
        <c:varyColors val="1"/>
        <c:ser>
          <c:idx val="0"/>
          <c:order val="0"/>
          <c:dPt>
            <c:idx val="0"/>
            <c:bubble3D val="0"/>
            <c:spPr>
              <a:solidFill>
                <a:schemeClr val="accent4"/>
              </a:solidFill>
            </c:spPr>
            <c:extLst>
              <c:ext xmlns:c16="http://schemas.microsoft.com/office/drawing/2014/chart" uri="{C3380CC4-5D6E-409C-BE32-E72D297353CC}">
                <c16:uniqueId val="{00000001-9AC9-4D4E-92DD-0185FE58D070}"/>
              </c:ext>
            </c:extLst>
          </c:dPt>
          <c:dPt>
            <c:idx val="1"/>
            <c:bubble3D val="0"/>
            <c:spPr>
              <a:solidFill>
                <a:srgbClr val="4A86E8"/>
              </a:solidFill>
            </c:spPr>
            <c:extLst>
              <c:ext xmlns:c16="http://schemas.microsoft.com/office/drawing/2014/chart" uri="{C3380CC4-5D6E-409C-BE32-E72D297353CC}">
                <c16:uniqueId val="{00000003-9AC9-4D4E-92DD-0185FE58D070}"/>
              </c:ext>
            </c:extLst>
          </c:dPt>
          <c:dPt>
            <c:idx val="2"/>
            <c:bubble3D val="0"/>
            <c:spPr>
              <a:solidFill>
                <a:srgbClr val="FBBC04"/>
              </a:solidFill>
            </c:spPr>
            <c:extLst>
              <c:ext xmlns:c16="http://schemas.microsoft.com/office/drawing/2014/chart" uri="{C3380CC4-5D6E-409C-BE32-E72D297353CC}">
                <c16:uniqueId val="{00000005-9AC9-4D4E-92DD-0185FE58D070}"/>
              </c:ext>
            </c:extLst>
          </c:dPt>
          <c:dPt>
            <c:idx val="3"/>
            <c:bubble3D val="0"/>
            <c:spPr>
              <a:solidFill>
                <a:srgbClr val="FF0000"/>
              </a:solidFill>
            </c:spPr>
            <c:extLst>
              <c:ext xmlns:c16="http://schemas.microsoft.com/office/drawing/2014/chart" uri="{C3380CC4-5D6E-409C-BE32-E72D297353CC}">
                <c16:uniqueId val="{00000007-9AC9-4D4E-92DD-0185FE58D070}"/>
              </c:ext>
            </c:extLst>
          </c:dPt>
          <c:dPt>
            <c:idx val="4"/>
            <c:bubble3D val="0"/>
            <c:spPr>
              <a:solidFill>
                <a:srgbClr val="FF6D01"/>
              </a:solidFill>
            </c:spPr>
            <c:extLst>
              <c:ext xmlns:c16="http://schemas.microsoft.com/office/drawing/2014/chart" uri="{C3380CC4-5D6E-409C-BE32-E72D297353CC}">
                <c16:uniqueId val="{00000009-9AC9-4D4E-92DD-0185FE58D070}"/>
              </c:ext>
            </c:extLst>
          </c:dPt>
          <c:dPt>
            <c:idx val="5"/>
            <c:bubble3D val="0"/>
            <c:spPr>
              <a:solidFill>
                <a:srgbClr val="46BDC6"/>
              </a:solidFill>
            </c:spPr>
            <c:extLst>
              <c:ext xmlns:c16="http://schemas.microsoft.com/office/drawing/2014/chart" uri="{C3380CC4-5D6E-409C-BE32-E72D297353CC}">
                <c16:uniqueId val="{0000000B-9AC9-4D4E-92DD-0185FE58D070}"/>
              </c:ext>
            </c:extLst>
          </c:dPt>
          <c:cat>
            <c:strRef>
              <c:f>'OM Costs Pie Charts Y0-Y5'!$A$14:$A$18</c:f>
              <c:strCache>
                <c:ptCount val="5"/>
                <c:pt idx="0">
                  <c:v>Facility Costs</c:v>
                </c:pt>
                <c:pt idx="1">
                  <c:v>Staffing</c:v>
                </c:pt>
                <c:pt idx="2">
                  <c:v>Software</c:v>
                </c:pt>
                <c:pt idx="3">
                  <c:v>Hardware</c:v>
                </c:pt>
                <c:pt idx="4">
                  <c:v>IS</c:v>
                </c:pt>
              </c:strCache>
            </c:strRef>
          </c:cat>
          <c:val>
            <c:numRef>
              <c:f>'OM Costs Pie Charts Y0-Y5'!$C$14:$C$19</c:f>
              <c:numCache>
                <c:formatCode>0.00%</c:formatCode>
                <c:ptCount val="6"/>
                <c:pt idx="0">
                  <c:v>4.1474380824342988E-2</c:v>
                </c:pt>
                <c:pt idx="1">
                  <c:v>0.89307494695766809</c:v>
                </c:pt>
                <c:pt idx="2">
                  <c:v>4.9392929904227001E-2</c:v>
                </c:pt>
                <c:pt idx="3">
                  <c:v>0</c:v>
                </c:pt>
                <c:pt idx="4">
                  <c:v>1.6057742313761964E-2</c:v>
                </c:pt>
                <c:pt idx="5">
                  <c:v>0</c:v>
                </c:pt>
              </c:numCache>
            </c:numRef>
          </c:val>
          <c:extLst>
            <c:ext xmlns:c16="http://schemas.microsoft.com/office/drawing/2014/chart" uri="{C3380CC4-5D6E-409C-BE32-E72D297353CC}">
              <c16:uniqueId val="{0000000C-9AC9-4D4E-92DD-0185FE58D070}"/>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chemeClr val="dk1"/>
                </a:solidFill>
                <a:latin typeface="+mn-lt"/>
              </a:defRPr>
            </a:pPr>
            <a:r>
              <a:rPr lang="en-US" b="0">
                <a:solidFill>
                  <a:schemeClr val="dk1"/>
                </a:solidFill>
                <a:latin typeface="+mn-lt"/>
              </a:rPr>
              <a:t>Year 2</a:t>
            </a:r>
          </a:p>
        </c:rich>
      </c:tx>
      <c:overlay val="0"/>
    </c:title>
    <c:autoTitleDeleted val="0"/>
    <c:plotArea>
      <c:layout/>
      <c:pieChart>
        <c:varyColors val="1"/>
        <c:ser>
          <c:idx val="0"/>
          <c:order val="0"/>
          <c:dPt>
            <c:idx val="0"/>
            <c:bubble3D val="0"/>
            <c:spPr>
              <a:solidFill>
                <a:schemeClr val="accent4"/>
              </a:solidFill>
            </c:spPr>
            <c:extLst>
              <c:ext xmlns:c16="http://schemas.microsoft.com/office/drawing/2014/chart" uri="{C3380CC4-5D6E-409C-BE32-E72D297353CC}">
                <c16:uniqueId val="{00000001-4CBF-4846-8DDD-2339CEAF7397}"/>
              </c:ext>
            </c:extLst>
          </c:dPt>
          <c:dPt>
            <c:idx val="1"/>
            <c:bubble3D val="0"/>
            <c:spPr>
              <a:solidFill>
                <a:srgbClr val="4A86E8"/>
              </a:solidFill>
            </c:spPr>
            <c:extLst>
              <c:ext xmlns:c16="http://schemas.microsoft.com/office/drawing/2014/chart" uri="{C3380CC4-5D6E-409C-BE32-E72D297353CC}">
                <c16:uniqueId val="{00000003-4CBF-4846-8DDD-2339CEAF7397}"/>
              </c:ext>
            </c:extLst>
          </c:dPt>
          <c:dPt>
            <c:idx val="2"/>
            <c:bubble3D val="0"/>
            <c:spPr>
              <a:solidFill>
                <a:srgbClr val="FBBC04"/>
              </a:solidFill>
            </c:spPr>
            <c:extLst>
              <c:ext xmlns:c16="http://schemas.microsoft.com/office/drawing/2014/chart" uri="{C3380CC4-5D6E-409C-BE32-E72D297353CC}">
                <c16:uniqueId val="{00000005-4CBF-4846-8DDD-2339CEAF7397}"/>
              </c:ext>
            </c:extLst>
          </c:dPt>
          <c:dPt>
            <c:idx val="3"/>
            <c:bubble3D val="0"/>
            <c:spPr>
              <a:solidFill>
                <a:srgbClr val="FF0000"/>
              </a:solidFill>
            </c:spPr>
            <c:extLst>
              <c:ext xmlns:c16="http://schemas.microsoft.com/office/drawing/2014/chart" uri="{C3380CC4-5D6E-409C-BE32-E72D297353CC}">
                <c16:uniqueId val="{00000007-4CBF-4846-8DDD-2339CEAF7397}"/>
              </c:ext>
            </c:extLst>
          </c:dPt>
          <c:dPt>
            <c:idx val="4"/>
            <c:bubble3D val="0"/>
            <c:spPr>
              <a:solidFill>
                <a:srgbClr val="FF6D01"/>
              </a:solidFill>
            </c:spPr>
            <c:extLst>
              <c:ext xmlns:c16="http://schemas.microsoft.com/office/drawing/2014/chart" uri="{C3380CC4-5D6E-409C-BE32-E72D297353CC}">
                <c16:uniqueId val="{00000009-4CBF-4846-8DDD-2339CEAF7397}"/>
              </c:ext>
            </c:extLst>
          </c:dPt>
          <c:dPt>
            <c:idx val="5"/>
            <c:bubble3D val="0"/>
            <c:spPr>
              <a:solidFill>
                <a:srgbClr val="46BDC6"/>
              </a:solidFill>
            </c:spPr>
            <c:extLst>
              <c:ext xmlns:c16="http://schemas.microsoft.com/office/drawing/2014/chart" uri="{C3380CC4-5D6E-409C-BE32-E72D297353CC}">
                <c16:uniqueId val="{0000000B-4CBF-4846-8DDD-2339CEAF7397}"/>
              </c:ext>
            </c:extLst>
          </c:dPt>
          <c:cat>
            <c:strRef>
              <c:f>'OM Costs Pie Charts Y0-Y5'!$A$14:$A$18</c:f>
              <c:strCache>
                <c:ptCount val="5"/>
                <c:pt idx="0">
                  <c:v>Facility Costs</c:v>
                </c:pt>
                <c:pt idx="1">
                  <c:v>Staffing</c:v>
                </c:pt>
                <c:pt idx="2">
                  <c:v>Software</c:v>
                </c:pt>
                <c:pt idx="3">
                  <c:v>Hardware</c:v>
                </c:pt>
                <c:pt idx="4">
                  <c:v>IS</c:v>
                </c:pt>
              </c:strCache>
            </c:strRef>
          </c:cat>
          <c:val>
            <c:numRef>
              <c:f>'OM Costs Pie Charts Y0-Y5'!$D$14:$D$19</c:f>
              <c:numCache>
                <c:formatCode>0.00%</c:formatCode>
                <c:ptCount val="6"/>
                <c:pt idx="0">
                  <c:v>3.9280279485782991E-2</c:v>
                </c:pt>
                <c:pt idx="1">
                  <c:v>0.8987315570707739</c:v>
                </c:pt>
                <c:pt idx="2">
                  <c:v>4.6779916967945714E-2</c:v>
                </c:pt>
                <c:pt idx="3">
                  <c:v>0</c:v>
                </c:pt>
                <c:pt idx="4">
                  <c:v>1.5208246475497456E-2</c:v>
                </c:pt>
                <c:pt idx="5">
                  <c:v>0</c:v>
                </c:pt>
              </c:numCache>
            </c:numRef>
          </c:val>
          <c:extLst>
            <c:ext xmlns:c16="http://schemas.microsoft.com/office/drawing/2014/chart" uri="{C3380CC4-5D6E-409C-BE32-E72D297353CC}">
              <c16:uniqueId val="{0000000C-4CBF-4846-8DDD-2339CEAF7397}"/>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chemeClr val="dk1"/>
                </a:solidFill>
                <a:latin typeface="+mn-lt"/>
              </a:defRPr>
            </a:pPr>
            <a:r>
              <a:rPr lang="en-US" b="0">
                <a:solidFill>
                  <a:schemeClr val="dk1"/>
                </a:solidFill>
                <a:latin typeface="+mn-lt"/>
              </a:rPr>
              <a:t>Year 3</a:t>
            </a:r>
          </a:p>
        </c:rich>
      </c:tx>
      <c:overlay val="0"/>
    </c:title>
    <c:autoTitleDeleted val="0"/>
    <c:plotArea>
      <c:layout/>
      <c:pieChart>
        <c:varyColors val="1"/>
        <c:ser>
          <c:idx val="0"/>
          <c:order val="0"/>
          <c:dPt>
            <c:idx val="0"/>
            <c:bubble3D val="0"/>
            <c:spPr>
              <a:solidFill>
                <a:schemeClr val="accent4"/>
              </a:solidFill>
            </c:spPr>
            <c:extLst>
              <c:ext xmlns:c16="http://schemas.microsoft.com/office/drawing/2014/chart" uri="{C3380CC4-5D6E-409C-BE32-E72D297353CC}">
                <c16:uniqueId val="{00000001-7C68-4C9B-83A2-ACBC1C346E0A}"/>
              </c:ext>
            </c:extLst>
          </c:dPt>
          <c:dPt>
            <c:idx val="1"/>
            <c:bubble3D val="0"/>
            <c:spPr>
              <a:solidFill>
                <a:srgbClr val="4A86E8"/>
              </a:solidFill>
            </c:spPr>
            <c:extLst>
              <c:ext xmlns:c16="http://schemas.microsoft.com/office/drawing/2014/chart" uri="{C3380CC4-5D6E-409C-BE32-E72D297353CC}">
                <c16:uniqueId val="{00000003-7C68-4C9B-83A2-ACBC1C346E0A}"/>
              </c:ext>
            </c:extLst>
          </c:dPt>
          <c:dPt>
            <c:idx val="2"/>
            <c:bubble3D val="0"/>
            <c:spPr>
              <a:solidFill>
                <a:srgbClr val="FBBC04"/>
              </a:solidFill>
            </c:spPr>
            <c:extLst>
              <c:ext xmlns:c16="http://schemas.microsoft.com/office/drawing/2014/chart" uri="{C3380CC4-5D6E-409C-BE32-E72D297353CC}">
                <c16:uniqueId val="{00000005-7C68-4C9B-83A2-ACBC1C346E0A}"/>
              </c:ext>
            </c:extLst>
          </c:dPt>
          <c:dPt>
            <c:idx val="3"/>
            <c:bubble3D val="0"/>
            <c:spPr>
              <a:solidFill>
                <a:srgbClr val="FF0000"/>
              </a:solidFill>
            </c:spPr>
            <c:extLst>
              <c:ext xmlns:c16="http://schemas.microsoft.com/office/drawing/2014/chart" uri="{C3380CC4-5D6E-409C-BE32-E72D297353CC}">
                <c16:uniqueId val="{00000007-7C68-4C9B-83A2-ACBC1C346E0A}"/>
              </c:ext>
            </c:extLst>
          </c:dPt>
          <c:dPt>
            <c:idx val="4"/>
            <c:bubble3D val="0"/>
            <c:spPr>
              <a:solidFill>
                <a:srgbClr val="FF6D01"/>
              </a:solidFill>
            </c:spPr>
            <c:extLst>
              <c:ext xmlns:c16="http://schemas.microsoft.com/office/drawing/2014/chart" uri="{C3380CC4-5D6E-409C-BE32-E72D297353CC}">
                <c16:uniqueId val="{00000009-7C68-4C9B-83A2-ACBC1C346E0A}"/>
              </c:ext>
            </c:extLst>
          </c:dPt>
          <c:dPt>
            <c:idx val="5"/>
            <c:bubble3D val="0"/>
            <c:spPr>
              <a:solidFill>
                <a:srgbClr val="46BDC6"/>
              </a:solidFill>
            </c:spPr>
            <c:extLst>
              <c:ext xmlns:c16="http://schemas.microsoft.com/office/drawing/2014/chart" uri="{C3380CC4-5D6E-409C-BE32-E72D297353CC}">
                <c16:uniqueId val="{0000000B-7C68-4C9B-83A2-ACBC1C346E0A}"/>
              </c:ext>
            </c:extLst>
          </c:dPt>
          <c:cat>
            <c:strRef>
              <c:f>'OM Costs Pie Charts Y0-Y5'!$A$14:$A$18</c:f>
              <c:strCache>
                <c:ptCount val="5"/>
                <c:pt idx="0">
                  <c:v>Facility Costs</c:v>
                </c:pt>
                <c:pt idx="1">
                  <c:v>Staffing</c:v>
                </c:pt>
                <c:pt idx="2">
                  <c:v>Software</c:v>
                </c:pt>
                <c:pt idx="3">
                  <c:v>Hardware</c:v>
                </c:pt>
                <c:pt idx="4">
                  <c:v>IS</c:v>
                </c:pt>
              </c:strCache>
            </c:strRef>
          </c:cat>
          <c:val>
            <c:numRef>
              <c:f>'OM Costs Pie Charts Y0-Y5'!$E$14:$E$19</c:f>
              <c:numCache>
                <c:formatCode>0.00%</c:formatCode>
                <c:ptCount val="6"/>
                <c:pt idx="0">
                  <c:v>2.5922373110695909E-2</c:v>
                </c:pt>
                <c:pt idx="1">
                  <c:v>0.90437003447116304</c:v>
                </c:pt>
                <c:pt idx="2">
                  <c:v>4.8512569715669092E-2</c:v>
                </c:pt>
                <c:pt idx="3">
                  <c:v>1.0938079391159157E-2</c:v>
                </c:pt>
                <c:pt idx="4">
                  <c:v>1.0256943311312895E-2</c:v>
                </c:pt>
                <c:pt idx="5">
                  <c:v>0</c:v>
                </c:pt>
              </c:numCache>
            </c:numRef>
          </c:val>
          <c:extLst>
            <c:ext xmlns:c16="http://schemas.microsoft.com/office/drawing/2014/chart" uri="{C3380CC4-5D6E-409C-BE32-E72D297353CC}">
              <c16:uniqueId val="{0000000C-7C68-4C9B-83A2-ACBC1C346E0A}"/>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chemeClr val="dk1"/>
                </a:solidFill>
                <a:latin typeface="+mn-lt"/>
              </a:defRPr>
            </a:pPr>
            <a:r>
              <a:rPr lang="en-US" b="0">
                <a:solidFill>
                  <a:schemeClr val="dk1"/>
                </a:solidFill>
                <a:latin typeface="+mn-lt"/>
              </a:rPr>
              <a:t>Year 4</a:t>
            </a:r>
          </a:p>
        </c:rich>
      </c:tx>
      <c:overlay val="0"/>
    </c:title>
    <c:autoTitleDeleted val="0"/>
    <c:plotArea>
      <c:layout/>
      <c:pieChart>
        <c:varyColors val="1"/>
        <c:ser>
          <c:idx val="0"/>
          <c:order val="0"/>
          <c:dPt>
            <c:idx val="0"/>
            <c:bubble3D val="0"/>
            <c:spPr>
              <a:solidFill>
                <a:schemeClr val="accent4"/>
              </a:solidFill>
            </c:spPr>
            <c:extLst>
              <c:ext xmlns:c16="http://schemas.microsoft.com/office/drawing/2014/chart" uri="{C3380CC4-5D6E-409C-BE32-E72D297353CC}">
                <c16:uniqueId val="{00000001-99B7-4C29-A0C2-4178EC56210D}"/>
              </c:ext>
            </c:extLst>
          </c:dPt>
          <c:dPt>
            <c:idx val="1"/>
            <c:bubble3D val="0"/>
            <c:spPr>
              <a:solidFill>
                <a:srgbClr val="4A86E8"/>
              </a:solidFill>
            </c:spPr>
            <c:extLst>
              <c:ext xmlns:c16="http://schemas.microsoft.com/office/drawing/2014/chart" uri="{C3380CC4-5D6E-409C-BE32-E72D297353CC}">
                <c16:uniqueId val="{00000003-99B7-4C29-A0C2-4178EC56210D}"/>
              </c:ext>
            </c:extLst>
          </c:dPt>
          <c:dPt>
            <c:idx val="2"/>
            <c:bubble3D val="0"/>
            <c:spPr>
              <a:solidFill>
                <a:srgbClr val="FBBC04"/>
              </a:solidFill>
            </c:spPr>
            <c:extLst>
              <c:ext xmlns:c16="http://schemas.microsoft.com/office/drawing/2014/chart" uri="{C3380CC4-5D6E-409C-BE32-E72D297353CC}">
                <c16:uniqueId val="{00000005-99B7-4C29-A0C2-4178EC56210D}"/>
              </c:ext>
            </c:extLst>
          </c:dPt>
          <c:dPt>
            <c:idx val="3"/>
            <c:bubble3D val="0"/>
            <c:spPr>
              <a:solidFill>
                <a:srgbClr val="FF0000"/>
              </a:solidFill>
            </c:spPr>
            <c:extLst>
              <c:ext xmlns:c16="http://schemas.microsoft.com/office/drawing/2014/chart" uri="{C3380CC4-5D6E-409C-BE32-E72D297353CC}">
                <c16:uniqueId val="{00000007-99B7-4C29-A0C2-4178EC56210D}"/>
              </c:ext>
            </c:extLst>
          </c:dPt>
          <c:dPt>
            <c:idx val="4"/>
            <c:bubble3D val="0"/>
            <c:spPr>
              <a:solidFill>
                <a:srgbClr val="FF6D01"/>
              </a:solidFill>
            </c:spPr>
            <c:extLst>
              <c:ext xmlns:c16="http://schemas.microsoft.com/office/drawing/2014/chart" uri="{C3380CC4-5D6E-409C-BE32-E72D297353CC}">
                <c16:uniqueId val="{00000009-99B7-4C29-A0C2-4178EC56210D}"/>
              </c:ext>
            </c:extLst>
          </c:dPt>
          <c:dPt>
            <c:idx val="5"/>
            <c:bubble3D val="0"/>
            <c:spPr>
              <a:solidFill>
                <a:srgbClr val="46BDC6"/>
              </a:solidFill>
            </c:spPr>
            <c:extLst>
              <c:ext xmlns:c16="http://schemas.microsoft.com/office/drawing/2014/chart" uri="{C3380CC4-5D6E-409C-BE32-E72D297353CC}">
                <c16:uniqueId val="{0000000B-99B7-4C29-A0C2-4178EC56210D}"/>
              </c:ext>
            </c:extLst>
          </c:dPt>
          <c:cat>
            <c:strRef>
              <c:f>'OM Costs Pie Charts Y0-Y5'!$A$14:$A$18</c:f>
              <c:strCache>
                <c:ptCount val="5"/>
                <c:pt idx="0">
                  <c:v>Facility Costs</c:v>
                </c:pt>
                <c:pt idx="1">
                  <c:v>Staffing</c:v>
                </c:pt>
                <c:pt idx="2">
                  <c:v>Software</c:v>
                </c:pt>
                <c:pt idx="3">
                  <c:v>Hardware</c:v>
                </c:pt>
                <c:pt idx="4">
                  <c:v>IS</c:v>
                </c:pt>
              </c:strCache>
            </c:strRef>
          </c:cat>
          <c:val>
            <c:numRef>
              <c:f>'OM Costs Pie Charts Y0-Y5'!$F$14:$F$19</c:f>
              <c:numCache>
                <c:formatCode>0.00%</c:formatCode>
                <c:ptCount val="6"/>
                <c:pt idx="0">
                  <c:v>2.4961061625051739E-2</c:v>
                </c:pt>
                <c:pt idx="1">
                  <c:v>0.91844884802803117</c:v>
                </c:pt>
                <c:pt idx="2">
                  <c:v>4.6713517975049565E-2</c:v>
                </c:pt>
                <c:pt idx="3">
                  <c:v>0</c:v>
                </c:pt>
                <c:pt idx="4">
                  <c:v>9.8765723718676236E-3</c:v>
                </c:pt>
                <c:pt idx="5">
                  <c:v>0</c:v>
                </c:pt>
              </c:numCache>
            </c:numRef>
          </c:val>
          <c:extLst>
            <c:ext xmlns:c16="http://schemas.microsoft.com/office/drawing/2014/chart" uri="{C3380CC4-5D6E-409C-BE32-E72D297353CC}">
              <c16:uniqueId val="{0000000C-99B7-4C29-A0C2-4178EC56210D}"/>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chemeClr val="dk1"/>
                </a:solidFill>
                <a:latin typeface="+mn-lt"/>
              </a:defRPr>
            </a:pPr>
            <a:r>
              <a:rPr lang="en-US" b="0">
                <a:solidFill>
                  <a:schemeClr val="dk1"/>
                </a:solidFill>
                <a:latin typeface="+mn-lt"/>
              </a:rPr>
              <a:t>Year 5</a:t>
            </a:r>
          </a:p>
        </c:rich>
      </c:tx>
      <c:overlay val="0"/>
    </c:title>
    <c:autoTitleDeleted val="0"/>
    <c:plotArea>
      <c:layout/>
      <c:pieChart>
        <c:varyColors val="1"/>
        <c:ser>
          <c:idx val="0"/>
          <c:order val="0"/>
          <c:dPt>
            <c:idx val="0"/>
            <c:bubble3D val="0"/>
            <c:spPr>
              <a:solidFill>
                <a:schemeClr val="accent4"/>
              </a:solidFill>
            </c:spPr>
            <c:extLst>
              <c:ext xmlns:c16="http://schemas.microsoft.com/office/drawing/2014/chart" uri="{C3380CC4-5D6E-409C-BE32-E72D297353CC}">
                <c16:uniqueId val="{00000001-A748-4EAC-8A86-979C9D00271C}"/>
              </c:ext>
            </c:extLst>
          </c:dPt>
          <c:dPt>
            <c:idx val="1"/>
            <c:bubble3D val="0"/>
            <c:spPr>
              <a:solidFill>
                <a:srgbClr val="4A86E8"/>
              </a:solidFill>
            </c:spPr>
            <c:extLst>
              <c:ext xmlns:c16="http://schemas.microsoft.com/office/drawing/2014/chart" uri="{C3380CC4-5D6E-409C-BE32-E72D297353CC}">
                <c16:uniqueId val="{00000003-A748-4EAC-8A86-979C9D00271C}"/>
              </c:ext>
            </c:extLst>
          </c:dPt>
          <c:dPt>
            <c:idx val="2"/>
            <c:bubble3D val="0"/>
            <c:spPr>
              <a:solidFill>
                <a:srgbClr val="FBBC04"/>
              </a:solidFill>
            </c:spPr>
            <c:extLst>
              <c:ext xmlns:c16="http://schemas.microsoft.com/office/drawing/2014/chart" uri="{C3380CC4-5D6E-409C-BE32-E72D297353CC}">
                <c16:uniqueId val="{00000005-A748-4EAC-8A86-979C9D00271C}"/>
              </c:ext>
            </c:extLst>
          </c:dPt>
          <c:dPt>
            <c:idx val="3"/>
            <c:bubble3D val="0"/>
            <c:spPr>
              <a:solidFill>
                <a:srgbClr val="FF0000"/>
              </a:solidFill>
            </c:spPr>
            <c:extLst>
              <c:ext xmlns:c16="http://schemas.microsoft.com/office/drawing/2014/chart" uri="{C3380CC4-5D6E-409C-BE32-E72D297353CC}">
                <c16:uniqueId val="{00000007-A748-4EAC-8A86-979C9D00271C}"/>
              </c:ext>
            </c:extLst>
          </c:dPt>
          <c:dPt>
            <c:idx val="4"/>
            <c:bubble3D val="0"/>
            <c:spPr>
              <a:solidFill>
                <a:srgbClr val="FF6D01"/>
              </a:solidFill>
            </c:spPr>
            <c:extLst>
              <c:ext xmlns:c16="http://schemas.microsoft.com/office/drawing/2014/chart" uri="{C3380CC4-5D6E-409C-BE32-E72D297353CC}">
                <c16:uniqueId val="{00000009-A748-4EAC-8A86-979C9D00271C}"/>
              </c:ext>
            </c:extLst>
          </c:dPt>
          <c:dPt>
            <c:idx val="5"/>
            <c:bubble3D val="0"/>
            <c:spPr>
              <a:solidFill>
                <a:srgbClr val="46BDC6"/>
              </a:solidFill>
            </c:spPr>
            <c:extLst>
              <c:ext xmlns:c16="http://schemas.microsoft.com/office/drawing/2014/chart" uri="{C3380CC4-5D6E-409C-BE32-E72D297353CC}">
                <c16:uniqueId val="{0000000B-A748-4EAC-8A86-979C9D00271C}"/>
              </c:ext>
            </c:extLst>
          </c:dPt>
          <c:cat>
            <c:strRef>
              <c:f>'OM Costs Pie Charts Y0-Y5'!$A$14:$A$18</c:f>
              <c:strCache>
                <c:ptCount val="5"/>
                <c:pt idx="0">
                  <c:v>Facility Costs</c:v>
                </c:pt>
                <c:pt idx="1">
                  <c:v>Staffing</c:v>
                </c:pt>
                <c:pt idx="2">
                  <c:v>Software</c:v>
                </c:pt>
                <c:pt idx="3">
                  <c:v>Hardware</c:v>
                </c:pt>
                <c:pt idx="4">
                  <c:v>IS</c:v>
                </c:pt>
              </c:strCache>
            </c:strRef>
          </c:cat>
          <c:val>
            <c:numRef>
              <c:f>'OM Costs Pie Charts Y0-Y5'!$G$14:$G$19</c:f>
              <c:numCache>
                <c:formatCode>0.00%</c:formatCode>
                <c:ptCount val="6"/>
                <c:pt idx="0">
                  <c:v>2.3735652215096409E-2</c:v>
                </c:pt>
                <c:pt idx="1">
                  <c:v>0.92326006604116206</c:v>
                </c:pt>
                <c:pt idx="2">
                  <c:v>4.4420218701220128E-2</c:v>
                </c:pt>
                <c:pt idx="3">
                  <c:v>0</c:v>
                </c:pt>
                <c:pt idx="4">
                  <c:v>8.5840630425214996E-3</c:v>
                </c:pt>
                <c:pt idx="5">
                  <c:v>0</c:v>
                </c:pt>
              </c:numCache>
            </c:numRef>
          </c:val>
          <c:extLst>
            <c:ext xmlns:c16="http://schemas.microsoft.com/office/drawing/2014/chart" uri="{C3380CC4-5D6E-409C-BE32-E72D297353CC}">
              <c16:uniqueId val="{0000000C-A748-4EAC-8A86-979C9D00271C}"/>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Tornado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'QM Simulation Summary'!$A$31</c:f>
              <c:strCache>
                <c:ptCount val="1"/>
                <c:pt idx="0">
                  <c:v>2.5th percentile</c:v>
                </c:pt>
              </c:strCache>
            </c:strRef>
          </c:tx>
          <c:spPr>
            <a:solidFill>
              <a:schemeClr val="accent5"/>
            </a:solidFill>
            <a:ln>
              <a:noFill/>
            </a:ln>
            <a:effectLst/>
          </c:spPr>
          <c:invertIfNegative val="0"/>
          <c:cat>
            <c:strRef>
              <c:f>'QM Simulation Summary'!$B$30:$C$30</c:f>
              <c:strCache>
                <c:ptCount val="2"/>
                <c:pt idx="0">
                  <c:v>Segment Size</c:v>
                </c:pt>
                <c:pt idx="1">
                  <c:v>Direct Material</c:v>
                </c:pt>
              </c:strCache>
            </c:strRef>
          </c:cat>
          <c:val>
            <c:numRef>
              <c:f>'QM Simulation Summary'!$B$31:$C$31</c:f>
              <c:numCache>
                <c:formatCode>_("$"* #,##0_);_("$"* \(#,##0\);_("$"* "-"??_);_(@_)</c:formatCode>
                <c:ptCount val="2"/>
                <c:pt idx="0">
                  <c:v>33009.630470256525</c:v>
                </c:pt>
                <c:pt idx="1">
                  <c:v>-689825.14180355077</c:v>
                </c:pt>
              </c:numCache>
            </c:numRef>
          </c:val>
          <c:extLst>
            <c:ext xmlns:c16="http://schemas.microsoft.com/office/drawing/2014/chart" uri="{C3380CC4-5D6E-409C-BE32-E72D297353CC}">
              <c16:uniqueId val="{00000000-8512-4256-802E-89BA561D0427}"/>
            </c:ext>
          </c:extLst>
        </c:ser>
        <c:ser>
          <c:idx val="1"/>
          <c:order val="1"/>
          <c:tx>
            <c:strRef>
              <c:f>'QM Simulation Summary'!$A$32</c:f>
              <c:strCache>
                <c:ptCount val="1"/>
                <c:pt idx="0">
                  <c:v>97.5th percentile</c:v>
                </c:pt>
              </c:strCache>
            </c:strRef>
          </c:tx>
          <c:spPr>
            <a:solidFill>
              <a:schemeClr val="accent1"/>
            </a:solidFill>
            <a:ln>
              <a:noFill/>
            </a:ln>
            <a:effectLst/>
          </c:spPr>
          <c:invertIfNegative val="0"/>
          <c:cat>
            <c:strRef>
              <c:f>'QM Simulation Summary'!$B$30:$C$30</c:f>
              <c:strCache>
                <c:ptCount val="2"/>
                <c:pt idx="0">
                  <c:v>Segment Size</c:v>
                </c:pt>
                <c:pt idx="1">
                  <c:v>Direct Material</c:v>
                </c:pt>
              </c:strCache>
            </c:strRef>
          </c:cat>
          <c:val>
            <c:numRef>
              <c:f>'QM Simulation Summary'!$B$32:$C$32</c:f>
              <c:numCache>
                <c:formatCode>_("$"* #,##0_);_("$"* \(#,##0\);_("$"* "-"??_);_(@_)</c:formatCode>
                <c:ptCount val="2"/>
                <c:pt idx="0">
                  <c:v>5745705.8032068266</c:v>
                </c:pt>
                <c:pt idx="1">
                  <c:v>3389322.3785652518</c:v>
                </c:pt>
              </c:numCache>
            </c:numRef>
          </c:val>
          <c:extLst>
            <c:ext xmlns:c16="http://schemas.microsoft.com/office/drawing/2014/chart" uri="{C3380CC4-5D6E-409C-BE32-E72D297353CC}">
              <c16:uniqueId val="{00000001-8512-4256-802E-89BA561D0427}"/>
            </c:ext>
          </c:extLst>
        </c:ser>
        <c:dLbls>
          <c:showLegendKey val="0"/>
          <c:showVal val="0"/>
          <c:showCatName val="0"/>
          <c:showSerName val="0"/>
          <c:showPercent val="0"/>
          <c:showBubbleSize val="0"/>
        </c:dLbls>
        <c:gapWidth val="150"/>
        <c:overlap val="100"/>
        <c:axId val="2101530639"/>
        <c:axId val="1637642111"/>
      </c:barChart>
      <c:catAx>
        <c:axId val="210153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642111"/>
        <c:crosses val="autoZero"/>
        <c:auto val="1"/>
        <c:lblAlgn val="ctr"/>
        <c:lblOffset val="100"/>
        <c:noMultiLvlLbl val="0"/>
      </c:catAx>
      <c:valAx>
        <c:axId val="1637642111"/>
        <c:scaling>
          <c:orientation val="minMax"/>
          <c:max val="6000000"/>
          <c:min val="-10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NPV</a:t>
                </a:r>
              </a:p>
            </c:rich>
          </c:tx>
          <c:layout>
            <c:manualLayout>
              <c:xMode val="edge"/>
              <c:yMode val="edge"/>
              <c:x val="0.47695903610934426"/>
              <c:y val="0.829982279612308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530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effectLst/>
                <a:latin typeface="Arial"/>
                <a:ea typeface="Arial"/>
                <a:cs typeface="Arial"/>
              </a:rPr>
              <a:t>Input: </a:t>
            </a:r>
            <a:r>
              <a:rPr lang="en-US" altLang="zh-CN" sz="1400" b="0" i="0" u="none" strike="noStrike" baseline="0">
                <a:solidFill>
                  <a:srgbClr val="000000">
                    <a:lumMod val="65000"/>
                    <a:lumOff val="35000"/>
                  </a:srgbClr>
                </a:solidFill>
                <a:latin typeface="Arial"/>
                <a:cs typeface="Arial"/>
              </a:rPr>
              <a:t>Segment Size </a:t>
            </a:r>
            <a:endParaRPr lang="en-US" sz="1400" b="0" i="0" u="none" strike="noStrike" baseline="0">
              <a:solidFill>
                <a:srgbClr val="000000">
                  <a:lumMod val="65000"/>
                  <a:lumOff val="35000"/>
                </a:srgbClr>
              </a:solidFill>
              <a:latin typeface="Arial"/>
              <a:cs typeface="Arial"/>
            </a:endParaRPr>
          </a:p>
        </cx:rich>
      </cx:tx>
    </cx:title>
    <cx:plotArea>
      <cx:plotAreaRegion>
        <cx:series layoutId="clusteredColumn" uniqueId="{B08E0E57-960E-426A-A2D1-04B82D1F230F}">
          <cx:spPr>
            <a:solidFill>
              <a:schemeClr val="accent5"/>
            </a:solidFill>
          </cx:spPr>
          <cx:dataId val="0"/>
          <cx:layoutPr>
            <cx:binning intervalClosed="r"/>
          </cx:layoutPr>
        </cx:series>
      </cx:plotAreaRegion>
      <cx:axis id="0">
        <cx:catScaling gapWidth="0.10000000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Output: NPV (In Millions)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Output: NPV (In Millions)</a:t>
          </a:r>
        </a:p>
      </cx:txPr>
    </cx:title>
    <cx:plotArea>
      <cx:plotAreaRegion>
        <cx:series layoutId="clusteredColumn" uniqueId="{6BD7A50E-B70A-4BE0-8C93-373ECEE2E984}">
          <cx:dataId val="0"/>
          <cx:layoutPr>
            <cx:binning intervalClosed="r"/>
          </cx:layoutPr>
        </cx:series>
      </cx:plotAreaRegion>
      <cx:axis id="0">
        <cx:catScaling gapWidth="0.10000000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effectLst/>
                <a:latin typeface="Arial"/>
                <a:ea typeface="Arial"/>
                <a:cs typeface="Arial"/>
              </a:rPr>
              <a:t>Input: </a:t>
            </a:r>
            <a:r>
              <a:rPr lang="en-US" altLang="zh-CN" sz="1400" b="0" i="0" u="none" strike="noStrike" baseline="0">
                <a:solidFill>
                  <a:srgbClr val="000000">
                    <a:lumMod val="65000"/>
                    <a:lumOff val="35000"/>
                  </a:srgbClr>
                </a:solidFill>
                <a:latin typeface="Arial"/>
                <a:cs typeface="Arial"/>
              </a:rPr>
              <a:t>Direct Material Cost / Unit </a:t>
            </a:r>
            <a:endParaRPr lang="en-US" sz="1400" b="0" i="0" u="none" strike="noStrike" baseline="0">
              <a:solidFill>
                <a:srgbClr val="000000">
                  <a:lumMod val="65000"/>
                  <a:lumOff val="35000"/>
                </a:srgbClr>
              </a:solidFill>
              <a:latin typeface="Arial"/>
              <a:cs typeface="Arial"/>
            </a:endParaRPr>
          </a:p>
        </cx:rich>
      </cx:tx>
    </cx:title>
    <cx:plotArea>
      <cx:plotAreaRegion>
        <cx:series layoutId="clusteredColumn" uniqueId="{F243C1CC-F16E-40ED-8A5D-F5915489A974}">
          <cx:spPr>
            <a:solidFill>
              <a:schemeClr val="accent5"/>
            </a:solidFill>
          </cx:spPr>
          <cx:dataId val="0"/>
          <cx:layoutPr>
            <cx:binning intervalClosed="r"/>
          </cx:layoutPr>
        </cx:series>
      </cx:plotAreaRegion>
      <cx:axis id="0">
        <cx:catScaling gapWidth="0.10000000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Output: NPV (in Millions)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Output: NPV (in Millions)</a:t>
          </a:r>
        </a:p>
      </cx:txPr>
    </cx:title>
    <cx:plotArea>
      <cx:plotAreaRegion>
        <cx:series layoutId="clusteredColumn" uniqueId="{1D927DDF-62F1-45A8-8050-A96082329CDB}">
          <cx:dataId val="0"/>
          <cx:layoutPr>
            <cx:binning intervalClosed="r"/>
          </cx:layoutPr>
        </cx:series>
      </cx:plotAreaRegion>
      <cx:axis id="0">
        <cx:catScaling gapWidth="0.10000000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Output: NPV</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Output: NPV</a:t>
          </a:r>
        </a:p>
      </cx:txPr>
    </cx:title>
    <cx:plotArea>
      <cx:plotAreaRegion>
        <cx:series layoutId="clusteredColumn" uniqueId="{AD98D6A4-FB95-4D8A-AA06-2A39CCEB48A2}">
          <cx:spPr>
            <a:solidFill>
              <a:schemeClr val="accent5"/>
            </a:solidFill>
          </cx:spPr>
          <cx:dataId val="0"/>
          <cx:layoutPr>
            <cx:binning intervalClosed="r"/>
          </cx:layoutPr>
        </cx:series>
      </cx:plotAreaRegion>
      <cx:axis id="0">
        <cx:catScaling gapWidth="0.10000000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g"/></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12.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4673648" cy="10262973"/>
    <xdr:pic>
      <xdr:nvPicPr>
        <xdr:cNvPr id="2" name="image2.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0"/>
          <a:ext cx="14673648" cy="10262973"/>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xdr:row>
      <xdr:rowOff>0</xdr:rowOff>
    </xdr:from>
    <xdr:ext cx="10236200" cy="5079999"/>
    <xdr:pic>
      <xdr:nvPicPr>
        <xdr:cNvPr id="2" name="image4.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0" y="1092200"/>
          <a:ext cx="10236200" cy="5079999"/>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311011</xdr:colOff>
      <xdr:row>24</xdr:row>
      <xdr:rowOff>164272</xdr:rowOff>
    </xdr:from>
    <xdr:to>
      <xdr:col>6</xdr:col>
      <xdr:colOff>127690</xdr:colOff>
      <xdr:row>29</xdr:row>
      <xdr:rowOff>8145</xdr:rowOff>
    </xdr:to>
    <xdr:sp macro="" textlink="">
      <xdr:nvSpPr>
        <xdr:cNvPr id="3" name="TextBox 2">
          <a:extLst>
            <a:ext uri="{FF2B5EF4-FFF2-40B4-BE49-F238E27FC236}">
              <a16:creationId xmlns:a16="http://schemas.microsoft.com/office/drawing/2014/main" id="{6258BB52-312B-814E-9C88-A6A924A13E2A}"/>
            </a:ext>
          </a:extLst>
        </xdr:cNvPr>
        <xdr:cNvSpPr txBox="1"/>
      </xdr:nvSpPr>
      <xdr:spPr>
        <a:xfrm>
          <a:off x="4825033" y="4416011"/>
          <a:ext cx="1873527" cy="6721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r>
            <a:rPr lang="en-US" sz="1100" baseline="0"/>
            <a:t> Demand curve does not include 3% increase in PI for CSR</a:t>
          </a:r>
          <a:endParaRPr lang="en-US" sz="1100"/>
        </a:p>
      </xdr:txBody>
    </xdr:sp>
    <xdr:clientData/>
  </xdr:twoCellAnchor>
  <xdr:twoCellAnchor>
    <xdr:from>
      <xdr:col>0</xdr:col>
      <xdr:colOff>177800</xdr:colOff>
      <xdr:row>24</xdr:row>
      <xdr:rowOff>101600</xdr:rowOff>
    </xdr:from>
    <xdr:to>
      <xdr:col>4</xdr:col>
      <xdr:colOff>241300</xdr:colOff>
      <xdr:row>41</xdr:row>
      <xdr:rowOff>38100</xdr:rowOff>
    </xdr:to>
    <xdr:graphicFrame macro="">
      <xdr:nvGraphicFramePr>
        <xdr:cNvPr id="6" name="Chart 5">
          <a:extLst>
            <a:ext uri="{FF2B5EF4-FFF2-40B4-BE49-F238E27FC236}">
              <a16:creationId xmlns:a16="http://schemas.microsoft.com/office/drawing/2014/main" id="{F5380CB6-FF59-344F-9C45-4DE5220C4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8</xdr:col>
      <xdr:colOff>76064</xdr:colOff>
      <xdr:row>26</xdr:row>
      <xdr:rowOff>127000</xdr:rowOff>
    </xdr:to>
    <xdr:pic>
      <xdr:nvPicPr>
        <xdr:cNvPr id="2" name="Picture 1">
          <a:extLst>
            <a:ext uri="{FF2B5EF4-FFF2-40B4-BE49-F238E27FC236}">
              <a16:creationId xmlns:a16="http://schemas.microsoft.com/office/drawing/2014/main" id="{3F599D88-641E-6F4D-92A7-09A4F721DE15}"/>
            </a:ext>
          </a:extLst>
        </xdr:cNvPr>
        <xdr:cNvPicPr>
          <a:picLocks noChangeAspect="1"/>
        </xdr:cNvPicPr>
      </xdr:nvPicPr>
      <xdr:blipFill>
        <a:blip xmlns:r="http://schemas.openxmlformats.org/officeDocument/2006/relationships" r:embed="rId1"/>
        <a:stretch>
          <a:fillRect/>
        </a:stretch>
      </xdr:blipFill>
      <xdr:spPr>
        <a:xfrm>
          <a:off x="1993900" y="0"/>
          <a:ext cx="10197964" cy="5003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3728720</xdr:colOff>
      <xdr:row>156</xdr:row>
      <xdr:rowOff>116840</xdr:rowOff>
    </xdr:from>
    <xdr:to>
      <xdr:col>2</xdr:col>
      <xdr:colOff>1249680</xdr:colOff>
      <xdr:row>173</xdr:row>
      <xdr:rowOff>96520</xdr:rowOff>
    </xdr:to>
    <xdr:graphicFrame macro="">
      <xdr:nvGraphicFramePr>
        <xdr:cNvPr id="2" name="Chart 1">
          <a:extLst>
            <a:ext uri="{FF2B5EF4-FFF2-40B4-BE49-F238E27FC236}">
              <a16:creationId xmlns:a16="http://schemas.microsoft.com/office/drawing/2014/main" id="{8FAC5A21-4D8B-D04F-9077-ECC122827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35560</xdr:colOff>
      <xdr:row>156</xdr:row>
      <xdr:rowOff>40640</xdr:rowOff>
    </xdr:from>
    <xdr:to>
      <xdr:col>5</xdr:col>
      <xdr:colOff>594360</xdr:colOff>
      <xdr:row>173</xdr:row>
      <xdr:rowOff>20320</xdr:rowOff>
    </xdr:to>
    <xdr:graphicFrame macro="">
      <xdr:nvGraphicFramePr>
        <xdr:cNvPr id="8" name="Chart 7">
          <a:extLst>
            <a:ext uri="{FF2B5EF4-FFF2-40B4-BE49-F238E27FC236}">
              <a16:creationId xmlns:a16="http://schemas.microsoft.com/office/drawing/2014/main" id="{E892D273-FDED-0F49-85BD-463E2A5AA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1356360</xdr:colOff>
      <xdr:row>158</xdr:row>
      <xdr:rowOff>10160</xdr:rowOff>
    </xdr:from>
    <xdr:to>
      <xdr:col>10</xdr:col>
      <xdr:colOff>248920</xdr:colOff>
      <xdr:row>174</xdr:row>
      <xdr:rowOff>152400</xdr:rowOff>
    </xdr:to>
    <xdr:graphicFrame macro="">
      <xdr:nvGraphicFramePr>
        <xdr:cNvPr id="9" name="Chart 8">
          <a:extLst>
            <a:ext uri="{FF2B5EF4-FFF2-40B4-BE49-F238E27FC236}">
              <a16:creationId xmlns:a16="http://schemas.microsoft.com/office/drawing/2014/main" id="{394347A3-E055-0644-8FEA-05CB0D133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47625</xdr:colOff>
      <xdr:row>21</xdr:row>
      <xdr:rowOff>123825</xdr:rowOff>
    </xdr:from>
    <xdr:ext cx="4362450" cy="2695575"/>
    <xdr:graphicFrame macro="">
      <xdr:nvGraphicFramePr>
        <xdr:cNvPr id="2" name="Chart 1" title="Chart">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609600</xdr:colOff>
      <xdr:row>21</xdr:row>
      <xdr:rowOff>123825</xdr:rowOff>
    </xdr:from>
    <xdr:ext cx="4362450" cy="2695575"/>
    <xdr:graphicFrame macro="">
      <xdr:nvGraphicFramePr>
        <xdr:cNvPr id="3" name="Chart 2" title="Chart">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581025</xdr:colOff>
      <xdr:row>21</xdr:row>
      <xdr:rowOff>123825</xdr:rowOff>
    </xdr:from>
    <xdr:ext cx="4362450" cy="2695575"/>
    <xdr:graphicFrame macro="">
      <xdr:nvGraphicFramePr>
        <xdr:cNvPr id="4" name="Chart 3" title="Chart">
          <a:extLst>
            <a:ext uri="{FF2B5EF4-FFF2-40B4-BE49-F238E27FC236}">
              <a16:creationId xmlns:a16="http://schemas.microsoft.com/office/drawing/2014/main" id="{00000000-0008-0000-2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47625</xdr:colOff>
      <xdr:row>36</xdr:row>
      <xdr:rowOff>161925</xdr:rowOff>
    </xdr:from>
    <xdr:ext cx="4362450" cy="2695575"/>
    <xdr:graphicFrame macro="">
      <xdr:nvGraphicFramePr>
        <xdr:cNvPr id="5" name="Chart 4" title="Chart">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609600</xdr:colOff>
      <xdr:row>36</xdr:row>
      <xdr:rowOff>161925</xdr:rowOff>
    </xdr:from>
    <xdr:ext cx="4362450" cy="2695575"/>
    <xdr:graphicFrame macro="">
      <xdr:nvGraphicFramePr>
        <xdr:cNvPr id="6" name="Chart 5" title="Chart">
          <a:extLst>
            <a:ext uri="{FF2B5EF4-FFF2-40B4-BE49-F238E27FC236}">
              <a16:creationId xmlns:a16="http://schemas.microsoft.com/office/drawing/2014/main" id="{00000000-0008-0000-2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581025</xdr:colOff>
      <xdr:row>36</xdr:row>
      <xdr:rowOff>161925</xdr:rowOff>
    </xdr:from>
    <xdr:ext cx="4362450" cy="2695575"/>
    <xdr:graphicFrame macro="">
      <xdr:nvGraphicFramePr>
        <xdr:cNvPr id="7" name="Chart 6" title="Chart">
          <a:extLst>
            <a:ext uri="{FF2B5EF4-FFF2-40B4-BE49-F238E27FC236}">
              <a16:creationId xmlns:a16="http://schemas.microsoft.com/office/drawing/2014/main" id="{00000000-0008-0000-2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10</xdr:col>
      <xdr:colOff>914400</xdr:colOff>
      <xdr:row>35</xdr:row>
      <xdr:rowOff>143722</xdr:rowOff>
    </xdr:to>
    <xdr:pic>
      <xdr:nvPicPr>
        <xdr:cNvPr id="3" name="Picture 2">
          <a:extLst>
            <a:ext uri="{FF2B5EF4-FFF2-40B4-BE49-F238E27FC236}">
              <a16:creationId xmlns:a16="http://schemas.microsoft.com/office/drawing/2014/main" id="{89A45873-867D-0B46-A7F6-13381AA2A5B4}"/>
            </a:ext>
          </a:extLst>
        </xdr:cNvPr>
        <xdr:cNvPicPr>
          <a:picLocks noChangeAspect="1"/>
        </xdr:cNvPicPr>
      </xdr:nvPicPr>
      <xdr:blipFill>
        <a:blip xmlns:r="http://schemas.openxmlformats.org/officeDocument/2006/relationships" r:embed="rId1"/>
        <a:stretch>
          <a:fillRect/>
        </a:stretch>
      </xdr:blipFill>
      <xdr:spPr>
        <a:xfrm>
          <a:off x="0" y="228600"/>
          <a:ext cx="11836400" cy="65826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219075</xdr:rowOff>
    </xdr:from>
    <xdr:ext cx="6686550" cy="3590925"/>
    <xdr:pic>
      <xdr:nvPicPr>
        <xdr:cNvPr id="3" name="image3.jpg" title="Image">
          <a:extLst>
            <a:ext uri="{FF2B5EF4-FFF2-40B4-BE49-F238E27FC236}">
              <a16:creationId xmlns:a16="http://schemas.microsoft.com/office/drawing/2014/main" id="{48E198D1-DC56-4246-9BE7-846B26DB2A0B}"/>
            </a:ext>
          </a:extLst>
        </xdr:cNvPr>
        <xdr:cNvPicPr preferRelativeResize="0"/>
      </xdr:nvPicPr>
      <xdr:blipFill>
        <a:blip xmlns:r="http://schemas.openxmlformats.org/officeDocument/2006/relationships" r:embed="rId1" cstate="print"/>
        <a:stretch>
          <a:fillRect/>
        </a:stretch>
      </xdr:blipFill>
      <xdr:spPr>
        <a:xfrm>
          <a:off x="0" y="3350895"/>
          <a:ext cx="6686550" cy="3590925"/>
        </a:xfrm>
        <a:prstGeom prst="rect">
          <a:avLst/>
        </a:prstGeom>
        <a:noFill/>
      </xdr:spPr>
    </xdr:pic>
    <xdr:clientData fLocksWithSheet="0"/>
  </xdr:oneCellAnchor>
  <xdr:twoCellAnchor editAs="oneCell">
    <xdr:from>
      <xdr:col>0</xdr:col>
      <xdr:colOff>0</xdr:colOff>
      <xdr:row>41</xdr:row>
      <xdr:rowOff>44173</xdr:rowOff>
    </xdr:from>
    <xdr:to>
      <xdr:col>4</xdr:col>
      <xdr:colOff>815009</xdr:colOff>
      <xdr:row>59</xdr:row>
      <xdr:rowOff>86507</xdr:rowOff>
    </xdr:to>
    <xdr:pic>
      <xdr:nvPicPr>
        <xdr:cNvPr id="5" name="Picture 4">
          <a:extLst>
            <a:ext uri="{FF2B5EF4-FFF2-40B4-BE49-F238E27FC236}">
              <a16:creationId xmlns:a16="http://schemas.microsoft.com/office/drawing/2014/main" id="{83F08783-8A36-BC46-9F92-9C340609030D}"/>
            </a:ext>
          </a:extLst>
        </xdr:cNvPr>
        <xdr:cNvPicPr>
          <a:picLocks noChangeAspect="1"/>
        </xdr:cNvPicPr>
      </xdr:nvPicPr>
      <xdr:blipFill>
        <a:blip xmlns:r="http://schemas.openxmlformats.org/officeDocument/2006/relationships" r:embed="rId2"/>
        <a:stretch>
          <a:fillRect/>
        </a:stretch>
      </xdr:blipFill>
      <xdr:spPr>
        <a:xfrm>
          <a:off x="0" y="8116956"/>
          <a:ext cx="6681304" cy="34878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2241550</xdr:colOff>
      <xdr:row>33</xdr:row>
      <xdr:rowOff>184150</xdr:rowOff>
    </xdr:from>
    <xdr:to>
      <xdr:col>5</xdr:col>
      <xdr:colOff>1816100</xdr:colOff>
      <xdr:row>51</xdr:row>
      <xdr:rowOff>0</xdr:rowOff>
    </xdr:to>
    <xdr:graphicFrame macro="">
      <xdr:nvGraphicFramePr>
        <xdr:cNvPr id="2" name="Chart 1">
          <a:extLst>
            <a:ext uri="{FF2B5EF4-FFF2-40B4-BE49-F238E27FC236}">
              <a16:creationId xmlns:a16="http://schemas.microsoft.com/office/drawing/2014/main" id="{FA542300-F5C3-4D27-A241-DC1CA0827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13</xdr:row>
      <xdr:rowOff>0</xdr:rowOff>
    </xdr:from>
    <xdr:to>
      <xdr:col>8</xdr:col>
      <xdr:colOff>1166812</xdr:colOff>
      <xdr:row>28</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B740D90-FD8C-423E-A10D-07E2E63A85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4100" y="2514600"/>
              <a:ext cx="4786312" cy="31718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31</xdr:row>
      <xdr:rowOff>0</xdr:rowOff>
    </xdr:from>
    <xdr:to>
      <xdr:col>8</xdr:col>
      <xdr:colOff>1166812</xdr:colOff>
      <xdr:row>47</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2C28D8F-ABDC-4746-9892-D891E4982E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34100" y="6172200"/>
              <a:ext cx="4786312" cy="3403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662939</xdr:colOff>
      <xdr:row>13</xdr:row>
      <xdr:rowOff>83819</xdr:rowOff>
    </xdr:from>
    <xdr:to>
      <xdr:col>9</xdr:col>
      <xdr:colOff>746759</xdr:colOff>
      <xdr:row>31</xdr:row>
      <xdr:rowOff>144779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46E7D2F-5AFA-43C9-894B-E5CF3C57CE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68439" y="2598419"/>
              <a:ext cx="6090920" cy="37947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647699</xdr:colOff>
      <xdr:row>33</xdr:row>
      <xdr:rowOff>53340</xdr:rowOff>
    </xdr:from>
    <xdr:to>
      <xdr:col>9</xdr:col>
      <xdr:colOff>731519</xdr:colOff>
      <xdr:row>52</xdr:row>
      <xdr:rowOff>91440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F1BD100-3FC9-4CAB-9E64-E809560C86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553199" y="6708140"/>
              <a:ext cx="6090920" cy="3898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15</xdr:row>
      <xdr:rowOff>0</xdr:rowOff>
    </xdr:from>
    <xdr:to>
      <xdr:col>9</xdr:col>
      <xdr:colOff>457200</xdr:colOff>
      <xdr:row>31</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F7C4D2-3331-440A-BE9B-85E3DB9FED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3500" y="2895600"/>
              <a:ext cx="5372100" cy="3289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james/Downloads/DEMAND%20CURVE%20CALCULATION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ey Christo" refreshedDate="44283.720695833334" createdVersion="6" refreshedVersion="6" minRefreshableVersion="3" recordCount="130" xr:uid="{F5013B1B-1E49-6D44-9757-2776A72022D6}">
  <cacheSource type="worksheet">
    <worksheetSource ref="B3:C133" sheet="Questionnaire Results Demand" r:id="rId2"/>
  </cacheSource>
  <cacheFields count="2">
    <cacheField name="willing price" numFmtId="0">
      <sharedItems containsSemiMixedTypes="0" containsString="0" containsNumber="1" containsInteger="1" minValue="1" maxValue="5" count="5">
        <n v="2"/>
        <n v="3"/>
        <n v="1"/>
        <n v="4"/>
        <n v="5"/>
      </sharedItems>
    </cacheField>
    <cacheField name="PURCHASE?" numFmtId="0">
      <sharedItems containsSemiMixedTypes="0" containsString="0" containsNumber="1" containsInteger="1" minValue="1" maxValue="5" count="5">
        <n v="4"/>
        <n v="2"/>
        <n v="3"/>
        <n v="1"/>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
  <r>
    <x v="0"/>
    <x v="0"/>
  </r>
  <r>
    <x v="1"/>
    <x v="0"/>
  </r>
  <r>
    <x v="2"/>
    <x v="1"/>
  </r>
  <r>
    <x v="2"/>
    <x v="2"/>
  </r>
  <r>
    <x v="2"/>
    <x v="1"/>
  </r>
  <r>
    <x v="0"/>
    <x v="2"/>
  </r>
  <r>
    <x v="2"/>
    <x v="0"/>
  </r>
  <r>
    <x v="2"/>
    <x v="1"/>
  </r>
  <r>
    <x v="2"/>
    <x v="1"/>
  </r>
  <r>
    <x v="2"/>
    <x v="1"/>
  </r>
  <r>
    <x v="2"/>
    <x v="2"/>
  </r>
  <r>
    <x v="2"/>
    <x v="1"/>
  </r>
  <r>
    <x v="2"/>
    <x v="1"/>
  </r>
  <r>
    <x v="2"/>
    <x v="1"/>
  </r>
  <r>
    <x v="2"/>
    <x v="0"/>
  </r>
  <r>
    <x v="2"/>
    <x v="1"/>
  </r>
  <r>
    <x v="0"/>
    <x v="2"/>
  </r>
  <r>
    <x v="0"/>
    <x v="1"/>
  </r>
  <r>
    <x v="0"/>
    <x v="0"/>
  </r>
  <r>
    <x v="2"/>
    <x v="1"/>
  </r>
  <r>
    <x v="0"/>
    <x v="3"/>
  </r>
  <r>
    <x v="2"/>
    <x v="2"/>
  </r>
  <r>
    <x v="2"/>
    <x v="3"/>
  </r>
  <r>
    <x v="2"/>
    <x v="2"/>
  </r>
  <r>
    <x v="2"/>
    <x v="0"/>
  </r>
  <r>
    <x v="2"/>
    <x v="1"/>
  </r>
  <r>
    <x v="2"/>
    <x v="0"/>
  </r>
  <r>
    <x v="2"/>
    <x v="1"/>
  </r>
  <r>
    <x v="2"/>
    <x v="0"/>
  </r>
  <r>
    <x v="1"/>
    <x v="2"/>
  </r>
  <r>
    <x v="2"/>
    <x v="2"/>
  </r>
  <r>
    <x v="0"/>
    <x v="0"/>
  </r>
  <r>
    <x v="0"/>
    <x v="0"/>
  </r>
  <r>
    <x v="2"/>
    <x v="1"/>
  </r>
  <r>
    <x v="0"/>
    <x v="0"/>
  </r>
  <r>
    <x v="2"/>
    <x v="2"/>
  </r>
  <r>
    <x v="1"/>
    <x v="0"/>
  </r>
  <r>
    <x v="2"/>
    <x v="0"/>
  </r>
  <r>
    <x v="2"/>
    <x v="2"/>
  </r>
  <r>
    <x v="2"/>
    <x v="2"/>
  </r>
  <r>
    <x v="2"/>
    <x v="0"/>
  </r>
  <r>
    <x v="2"/>
    <x v="3"/>
  </r>
  <r>
    <x v="2"/>
    <x v="1"/>
  </r>
  <r>
    <x v="0"/>
    <x v="0"/>
  </r>
  <r>
    <x v="2"/>
    <x v="2"/>
  </r>
  <r>
    <x v="1"/>
    <x v="0"/>
  </r>
  <r>
    <x v="2"/>
    <x v="2"/>
  </r>
  <r>
    <x v="2"/>
    <x v="2"/>
  </r>
  <r>
    <x v="2"/>
    <x v="0"/>
  </r>
  <r>
    <x v="0"/>
    <x v="3"/>
  </r>
  <r>
    <x v="2"/>
    <x v="1"/>
  </r>
  <r>
    <x v="2"/>
    <x v="3"/>
  </r>
  <r>
    <x v="0"/>
    <x v="0"/>
  </r>
  <r>
    <x v="2"/>
    <x v="2"/>
  </r>
  <r>
    <x v="2"/>
    <x v="3"/>
  </r>
  <r>
    <x v="2"/>
    <x v="4"/>
  </r>
  <r>
    <x v="2"/>
    <x v="0"/>
  </r>
  <r>
    <x v="2"/>
    <x v="1"/>
  </r>
  <r>
    <x v="2"/>
    <x v="2"/>
  </r>
  <r>
    <x v="2"/>
    <x v="1"/>
  </r>
  <r>
    <x v="2"/>
    <x v="1"/>
  </r>
  <r>
    <x v="0"/>
    <x v="2"/>
  </r>
  <r>
    <x v="2"/>
    <x v="2"/>
  </r>
  <r>
    <x v="2"/>
    <x v="2"/>
  </r>
  <r>
    <x v="2"/>
    <x v="2"/>
  </r>
  <r>
    <x v="2"/>
    <x v="1"/>
  </r>
  <r>
    <x v="2"/>
    <x v="2"/>
  </r>
  <r>
    <x v="2"/>
    <x v="2"/>
  </r>
  <r>
    <x v="2"/>
    <x v="1"/>
  </r>
  <r>
    <x v="2"/>
    <x v="2"/>
  </r>
  <r>
    <x v="2"/>
    <x v="1"/>
  </r>
  <r>
    <x v="2"/>
    <x v="0"/>
  </r>
  <r>
    <x v="0"/>
    <x v="0"/>
  </r>
  <r>
    <x v="2"/>
    <x v="2"/>
  </r>
  <r>
    <x v="2"/>
    <x v="0"/>
  </r>
  <r>
    <x v="0"/>
    <x v="1"/>
  </r>
  <r>
    <x v="2"/>
    <x v="2"/>
  </r>
  <r>
    <x v="2"/>
    <x v="0"/>
  </r>
  <r>
    <x v="2"/>
    <x v="2"/>
  </r>
  <r>
    <x v="3"/>
    <x v="1"/>
  </r>
  <r>
    <x v="2"/>
    <x v="1"/>
  </r>
  <r>
    <x v="1"/>
    <x v="2"/>
  </r>
  <r>
    <x v="2"/>
    <x v="3"/>
  </r>
  <r>
    <x v="2"/>
    <x v="3"/>
  </r>
  <r>
    <x v="2"/>
    <x v="3"/>
  </r>
  <r>
    <x v="2"/>
    <x v="0"/>
  </r>
  <r>
    <x v="0"/>
    <x v="3"/>
  </r>
  <r>
    <x v="2"/>
    <x v="3"/>
  </r>
  <r>
    <x v="2"/>
    <x v="2"/>
  </r>
  <r>
    <x v="1"/>
    <x v="0"/>
  </r>
  <r>
    <x v="0"/>
    <x v="1"/>
  </r>
  <r>
    <x v="2"/>
    <x v="1"/>
  </r>
  <r>
    <x v="2"/>
    <x v="2"/>
  </r>
  <r>
    <x v="2"/>
    <x v="3"/>
  </r>
  <r>
    <x v="2"/>
    <x v="2"/>
  </r>
  <r>
    <x v="2"/>
    <x v="1"/>
  </r>
  <r>
    <x v="2"/>
    <x v="1"/>
  </r>
  <r>
    <x v="1"/>
    <x v="3"/>
  </r>
  <r>
    <x v="1"/>
    <x v="3"/>
  </r>
  <r>
    <x v="1"/>
    <x v="3"/>
  </r>
  <r>
    <x v="1"/>
    <x v="4"/>
  </r>
  <r>
    <x v="2"/>
    <x v="3"/>
  </r>
  <r>
    <x v="2"/>
    <x v="1"/>
  </r>
  <r>
    <x v="0"/>
    <x v="1"/>
  </r>
  <r>
    <x v="2"/>
    <x v="1"/>
  </r>
  <r>
    <x v="2"/>
    <x v="2"/>
  </r>
  <r>
    <x v="2"/>
    <x v="3"/>
  </r>
  <r>
    <x v="2"/>
    <x v="2"/>
  </r>
  <r>
    <x v="2"/>
    <x v="1"/>
  </r>
  <r>
    <x v="2"/>
    <x v="1"/>
  </r>
  <r>
    <x v="0"/>
    <x v="2"/>
  </r>
  <r>
    <x v="0"/>
    <x v="1"/>
  </r>
  <r>
    <x v="2"/>
    <x v="3"/>
  </r>
  <r>
    <x v="2"/>
    <x v="1"/>
  </r>
  <r>
    <x v="2"/>
    <x v="1"/>
  </r>
  <r>
    <x v="2"/>
    <x v="3"/>
  </r>
  <r>
    <x v="4"/>
    <x v="4"/>
  </r>
  <r>
    <x v="2"/>
    <x v="1"/>
  </r>
  <r>
    <x v="2"/>
    <x v="2"/>
  </r>
  <r>
    <x v="0"/>
    <x v="1"/>
  </r>
  <r>
    <x v="2"/>
    <x v="3"/>
  </r>
  <r>
    <x v="2"/>
    <x v="3"/>
  </r>
  <r>
    <x v="1"/>
    <x v="1"/>
  </r>
  <r>
    <x v="2"/>
    <x v="3"/>
  </r>
  <r>
    <x v="2"/>
    <x v="2"/>
  </r>
  <r>
    <x v="2"/>
    <x v="2"/>
  </r>
  <r>
    <x v="0"/>
    <x v="0"/>
  </r>
  <r>
    <x v="2"/>
    <x v="3"/>
  </r>
  <r>
    <x v="2"/>
    <x v="1"/>
  </r>
  <r>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0CB7BC-AB8A-1E49-9FC8-796D69FBC831}" name="PivotTable2" cacheId="8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0" firstHeaderRow="1" firstDataRow="2" firstDataCol="1"/>
  <pivotFields count="2">
    <pivotField axis="axisRow" dataField="1" showAll="0">
      <items count="6">
        <item n="195.50" x="2"/>
        <item n="259.50" x="0"/>
        <item n="323.50" x="1"/>
        <item n="387.50" x="3"/>
        <item n="451.50" x="4"/>
        <item t="default"/>
      </items>
    </pivotField>
    <pivotField axis="axisCol" showAll="0">
      <items count="6">
        <item n="Definitely Not" x="3"/>
        <item n="Probably Not" x="1"/>
        <item n="Not Sure" x="2"/>
        <item n="Probably Buy" x="0"/>
        <item n="Definitely Buy" x="4"/>
        <item t="default"/>
      </items>
    </pivotField>
  </pivotFields>
  <rowFields count="1">
    <field x="0"/>
  </rowFields>
  <rowItems count="6">
    <i>
      <x/>
    </i>
    <i>
      <x v="1"/>
    </i>
    <i>
      <x v="2"/>
    </i>
    <i>
      <x v="3"/>
    </i>
    <i>
      <x v="4"/>
    </i>
    <i t="grand">
      <x/>
    </i>
  </rowItems>
  <colFields count="1">
    <field x="1"/>
  </colFields>
  <colItems count="6">
    <i>
      <x/>
    </i>
    <i>
      <x v="1"/>
    </i>
    <i>
      <x v="2"/>
    </i>
    <i>
      <x v="3"/>
    </i>
    <i>
      <x v="4"/>
    </i>
    <i t="grand">
      <x/>
    </i>
  </colItems>
  <dataFields count="1">
    <dataField name="Count of willing price" fld="0"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 type="button" dataOnly="0" labelOnly="1" outline="0" axis="axisCol" fieldPosition="0"/>
    </format>
    <format dxfId="5">
      <pivotArea type="topRight" dataOnly="0" labelOnly="1" outline="0"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fieldPosition="0">
        <references count="1">
          <reference field="1"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8" Type="http://schemas.openxmlformats.org/officeDocument/2006/relationships/hyperlink" Target="https://a-lined.com/products/belt-incline-conveyors/" TargetMode="External"/><Relationship Id="rId13" Type="http://schemas.openxmlformats.org/officeDocument/2006/relationships/hyperlink" Target="https://www.bosslaser.com/boss-ls-4055.html?keyword=&amp;gclid=CjwKCAjw9r-DBhBxEiwA9qYUpTjE7gCXxd7qB17adtufg_FaBROxwZSbBbcUwzzT8wo-N2VLDDmtwRoCn84QAvD_BwE" TargetMode="External"/><Relationship Id="rId18" Type="http://schemas.openxmlformats.org/officeDocument/2006/relationships/hyperlink" Target="https://www.loopnet.com/Listing/1225-W-8th-St-Kansas-City-MO/21632207/" TargetMode="External"/><Relationship Id="rId26" Type="http://schemas.openxmlformats.org/officeDocument/2006/relationships/hyperlink" Target="https://gokimco.com/products/production-basics-1005-c-leg-series-standard-stand-alone-workstation-30d-x-60w?variant=31348738326580&amp;utm_source=google&amp;utm_medium=cpc&amp;utm_campaign=Google+Shopping" TargetMode="External"/><Relationship Id="rId3" Type="http://schemas.openxmlformats.org/officeDocument/2006/relationships/hyperlink" Target="https://clevelandequipment.com/ce-551tb-top-bottom-belt-uniform-semi-automatic-carton-case-taper-sealer.html?gclid=CjwKCAjw9r-DBhBxEiwA9qYUpUx8x9XM5DNKIG01-KywYSWyRwYP3_iHisWtKJbHxrRQCT39ryaBXxoCnooQAvD_BwE" TargetMode="External"/><Relationship Id="rId21" Type="http://schemas.openxmlformats.org/officeDocument/2006/relationships/hyperlink" Target="https://www.business.att.com/products/att-mobile-select-pooled-plans.html" TargetMode="External"/><Relationship Id="rId7" Type="http://schemas.openxmlformats.org/officeDocument/2006/relationships/hyperlink" Target="https://www.toolots.com/haida-hdjs50-servo-motor-plastic-injection-molding-machine-with-dryer-hopper-and-auto-loader.html?cid=10591441119&amp;gclid=CjwKCAjw07qDBhBxEiwA6pPbHnViHQ7cqb8gK_5StA1mpibH8jVXGRGBjXvFod1l29Ppn-6iTOcdJBoC2UAQAvD_BwE" TargetMode="External"/><Relationship Id="rId12" Type="http://schemas.openxmlformats.org/officeDocument/2006/relationships/hyperlink" Target="https://www.creativesafetysupply.com/labeltac-4-industrial-labeling-system/?gclid=CjwKCAjw9r-DBhBxEiwA9qYUpTeYzeXFvNM4AHzIgL1HM9S2H-cFtO2vIeF-I2v2jqTcbmEtIOFfZxoCAecQAvD_BwE" TargetMode="External"/><Relationship Id="rId17" Type="http://schemas.openxmlformats.org/officeDocument/2006/relationships/hyperlink" Target="https://www.google.com/url?q=https://www.alibaba.com/product-detail/304-stainless-steel-Electrolytic-polishing-electropolishing_1600096837559.html?spm%3Da2700.7724857.normal_offer.d_title.2d536fabwsPwgb&amp;sa=D&amp;source=editors&amp;ust=1618781034894000&amp;usg=AFQjCNG8DI9jqVGeJxJ1MQYXKlx30VbnFQ" TargetMode="External"/><Relationship Id="rId25" Type="http://schemas.openxmlformats.org/officeDocument/2006/relationships/hyperlink" Target="https://www.shipstation.com/" TargetMode="External"/><Relationship Id="rId2" Type="http://schemas.openxmlformats.org/officeDocument/2006/relationships/hyperlink" Target="https://www.supplyone.com/products/packaging-equipment" TargetMode="External"/><Relationship Id="rId16" Type="http://schemas.openxmlformats.org/officeDocument/2006/relationships/hyperlink" Target="https://www.google.com/url?q=https://a-lined.com/products/belt-incline-conveyors/&amp;sa=D&amp;source=editors&amp;ust=1618781216305000&amp;usg=AFQjCNFtn21luG3VDP8WNz34FpMnETmiqQ" TargetMode="External"/><Relationship Id="rId20" Type="http://schemas.openxmlformats.org/officeDocument/2006/relationships/hyperlink" Target="https://support.simplisafe.com/hc/en-us/articles/360029372892-How-much-does-SimpliSafe-cost-" TargetMode="External"/><Relationship Id="rId1" Type="http://schemas.openxmlformats.org/officeDocument/2006/relationships/hyperlink" Target="https://www.google.com/url?q=https://www.alibaba.com/product-detail/Surface-Metal-Polishing-Deburring-Tub-Shape_62307451959.html?spm%3Da2700.7724857.normal_offer.d_title.32736b864sVawS&amp;sa=D&amp;source=editors&amp;ust=1618781072799000&amp;usg=AFQjCNH5pTfYNZH3eTPz2w09fyBKe0_pRw" TargetMode="External"/><Relationship Id="rId6" Type="http://schemas.openxmlformats.org/officeDocument/2006/relationships/hyperlink" Target="https://www.katom.com/404-POWERLOADER.html?gclid=CjwKCAjw9r-DBhBxEiwA9qYUpb0NqrhzFmhKGjMZbbsZ7EttJu7wFyaM9aig0qCBRBPIFvGDudHyNhoCY_8QAvD_BwE" TargetMode="External"/><Relationship Id="rId11" Type="http://schemas.openxmlformats.org/officeDocument/2006/relationships/hyperlink" Target="https://clevelandequipment.com/ce-551tb-top-bottom-belt-uniform-semi-automatic-carton-case-taper-sealer.html?gclid=CjwKCAjw9r-DBhBxEiwA9qYUpUx8x9XM5DNKIG01-KywYSWyRwYP3_iHisWtKJbHxrRQCT39ryaBXxoCnooQAvD_BwE" TargetMode="External"/><Relationship Id="rId24" Type="http://schemas.openxmlformats.org/officeDocument/2006/relationships/hyperlink" Target="https://www.businessnewsdaily.com/16077-payment-depot.html" TargetMode="External"/><Relationship Id="rId5" Type="http://schemas.openxmlformats.org/officeDocument/2006/relationships/hyperlink" Target="https://www.bosslaser.com/boss-ls-4055.html?keyword=&amp;gclid=CjwKCAjw9r-DBhBxEiwA9qYUpTjE7gCXxd7qB17adtufg_FaBROxwZSbBbcUwzzT8wo-N2VLDDmtwRoCn84QAvD_BwE" TargetMode="External"/><Relationship Id="rId15" Type="http://schemas.openxmlformats.org/officeDocument/2006/relationships/hyperlink" Target="https://www.google.com/url?q=https://www.toolots.com/haida-hdjs50-servo-motor-plastic-injection-molding-machine-with-dryer-hopper-and-auto-loader.html?cid%3D10591441119%26gclid%3DCjwKCAjw07qDBhBxEiwA6pPbHnViHQ7cqb8gK_5StA1mpibH8jVXGRGBjXvFod1l29Ppn-6iTOcdJBoC2UAQAvD_BwE%23productDetails&amp;sa=D&amp;source=editors&amp;ust=1618780416343000&amp;usg=AFQjCNH63pYSTYMcU21VxCJluvfFSUunRA" TargetMode="External"/><Relationship Id="rId23" Type="http://schemas.openxmlformats.org/officeDocument/2006/relationships/hyperlink" Target="https://www.clover.com/campaign/shop?utm_source=google&amp;utm_medium=ppc&amp;utm_campaign=Clover_PPC_450Offer&amp;utm_placement=89766429081&amp;utm_term=%2Bcard%20%2Bprocessor&amp;utm_content=468209432590&amp;utm_adplacement=&amp;utm_match=b&amp;utm_device=c&amp;utm_location=1018127&amp;utm_target=aud-986983121400%3Akwd-305419659799&amp;program=khL4pD&amp;gclid=CjwKCAjw07qDBhBxEiwA6pPbHrnIzrf4e2dGPJ_3pf2F4VViUe4vcyEX497dkDqfQtXIkWqc0vjIvRoCG9AQAvD_BwE" TargetMode="External"/><Relationship Id="rId10" Type="http://schemas.openxmlformats.org/officeDocument/2006/relationships/hyperlink" Target="https://www.alibaba.com/product-detail/Surface-Metal-Polishing-Deburring-Tub-Shape_62307451959.html?spm=a2700.7724857.normal_offer.d_title.32736b864sVawS" TargetMode="External"/><Relationship Id="rId19" Type="http://schemas.openxmlformats.org/officeDocument/2006/relationships/hyperlink" Target="https://simplisafe.com/build-my-system" TargetMode="External"/><Relationship Id="rId4" Type="http://schemas.openxmlformats.org/officeDocument/2006/relationships/hyperlink" Target="https://www.creativesafetysupply.com/labeltac-4-industrial-labeling-system/?gclid=CjwKCAjw9r-DBhBxEiwA9qYUpTeYzeXFvNM4AHzIgL1HM9S2H-cFtO2vIeF-I2v2jqTcbmEtIOFfZxoCAecQAvD_BwE" TargetMode="External"/><Relationship Id="rId9" Type="http://schemas.openxmlformats.org/officeDocument/2006/relationships/hyperlink" Target="https://www.alibaba.com/product-detail/304-stainless-steel-Electrolytic-polishing-electropolishing_1600096837559.html?spm=a2700.7724857.normal_offer.d_title.2d536fabwsPwgb" TargetMode="External"/><Relationship Id="rId14" Type="http://schemas.openxmlformats.org/officeDocument/2006/relationships/hyperlink" Target="https://www.katom.com/404-POWERLOADER.html?gclid=CjwKCAjw9r-DBhBxEiwA9qYUpb0NqrhzFmhKGjMZbbsZ7EttJu7wFyaM9aig0qCBRBPIFvGDudHyNhoCY_8QAvD_BwE" TargetMode="External"/><Relationship Id="rId22" Type="http://schemas.openxmlformats.org/officeDocument/2006/relationships/hyperlink" Target="https://www.business.att.com/small-business/internet/high-speed-fiber.html?source=ECmj0000000000mbU&amp;wtExtndSource=fiberfastspeeds&amp;adobe_mc_sdid=SDID%3D21048644377EFECF-39CC9B760CF4D94B%7CMCORGID%3D55633F7A534535110A490D44%40AdobeOrg%7CTS%3D1617917334"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insurancetrak.com/insurance-by-industry/manufacturers-insurance" TargetMode="External"/><Relationship Id="rId1" Type="http://schemas.openxmlformats.org/officeDocument/2006/relationships/hyperlink" Target="https://www.loopnet.com/missouri/kansas-city_warehouses-for-lease/"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5.xml.rels><?xml version="1.0" encoding="UTF-8" standalone="yes"?>
<Relationships xmlns="http://schemas.openxmlformats.org/package/2006/relationships"><Relationship Id="rId1" Type="http://schemas.openxmlformats.org/officeDocument/2006/relationships/hyperlink" Target="https://goshippo.com/shippo-the-best-multi-carrier-shipping-software-for-e-commerce-test/"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itl.nist.gov/div898/handbook/mpc/section5/mpc541.htm"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alibaba.com/product-detail/Shenzhen-OEM-Electronic-PCB-PCBA-Manufacturer_60778134162.html?spm=a2700.galleryofferlist.normal_offer.d_title.1a141c23023cVv" TargetMode="External"/><Relationship Id="rId13" Type="http://schemas.openxmlformats.org/officeDocument/2006/relationships/hyperlink" Target="https://www.elecbee.com/en/4ghz58ghz-wifi-antenna/2087-external-wifi-antenna-3dbi-rubber-duck-wireless-antenna.html?mark=google_shopping&amp;seo=1&amp;utm_term=&amp;utm_campaign=shopping_%E5%B1%95%E7%A4%BA%E7%BE%8E%E5%9B%BD2021/03/05&amp;utm_source=adwords&amp;utm_medium=ppc&amp;hsa_acc=9958698819&amp;hsa_cam=12474875514&amp;hsa_grp=119136185512&amp;hsa_ad=502712486143&amp;hsa_src=g&amp;hsa_tgt=pla-296128378483&amp;hsa_kw=&amp;hsa_mt=&amp;hsa_net=adwords&amp;hsa_ver=3&amp;gclid=Cj0KCQjwvYSEBhDjARIsAJMn0ljaxUZHHeogT2mEv7uD2hRiq1TduEbeX5YS7ovufXOazkvKaJ7DCyoaAvSnEALw_wcB" TargetMode="External"/><Relationship Id="rId18" Type="http://schemas.openxmlformats.org/officeDocument/2006/relationships/hyperlink" Target="https://www.alibaba.com/pla/UL2054-CB-KC-Hot-sale-lipo_62486618824.html?mark=google_shopping&amp;biz=pla&amp;pcy=US&amp;searchText=lithium+ion+batteries" TargetMode="External"/><Relationship Id="rId26" Type="http://schemas.openxmlformats.org/officeDocument/2006/relationships/hyperlink" Target="https://www.made-in-china.com/productdirectory.do?word=Polyethylene+Housing&amp;file=&amp;subaction=hunt&amp;style=b&amp;mode=and&amp;code=0&amp;comProvince=nolimit&amp;order=0&amp;isOpenCorrection=1" TargetMode="External"/><Relationship Id="rId3" Type="http://schemas.openxmlformats.org/officeDocument/2006/relationships/hyperlink" Target="https://www.amazon.com/SKTE-Function-Monitoring-Real-time-Streaming/dp/B08Y24XKPW/ref=sr_1_2_sspa?dchild=1&amp;keywords=pet+surveillance+camera&amp;qid=1619131733&amp;refinements=p_36%3A1253503011&amp;rnid=386442011&amp;s=electronics&amp;sr=1-2-spons&amp;psc=1&amp;spLa=ZW5jcnlwdGVkUXVhbGlmaWVyPUEyQVJTNEFNUlNSUDAxJmVuY3J5cHRlZElkPUEwMDY0NDg4M0JPNTdMWTFVT0dBWiZlbmNyeXB0ZWRBZElkPUEwMjUwODk4M1FESjkwVlAxSFpHUyZ3aWRnZXROYW1lPXNwX2F0ZiZhY3Rpb249Y2xpY2tSZWRpcmVjdCZkb05vdExvZ0NsaWNrPXRydWU=" TargetMode="External"/><Relationship Id="rId21" Type="http://schemas.openxmlformats.org/officeDocument/2006/relationships/hyperlink" Target="https://tinkersphere.com/motors-wheels/1090-3mm-axle-shaft.html" TargetMode="External"/><Relationship Id="rId7" Type="http://schemas.openxmlformats.org/officeDocument/2006/relationships/hyperlink" Target="https://www.alibaba.com/product-detail/Module-Accelerometer-Module-Price-Nrf52832-Bluetooth_1600224008807.html?spm=a2700.galleryofferlist.normal_offer.3.2eb65ce2wy4cfM&amp;s=p" TargetMode="External"/><Relationship Id="rId12" Type="http://schemas.openxmlformats.org/officeDocument/2006/relationships/hyperlink" Target="https://www.walmart.com/ip/STMicroelectronics-STM32-F3-Series-Discovery-kit-with-STM32F303VC-MCU/135285454?wmlspartner=wlpa&amp;selectedSellerId=101025561" TargetMode="External"/><Relationship Id="rId17" Type="http://schemas.openxmlformats.org/officeDocument/2006/relationships/hyperlink" Target="https://www.google.com/search?q=copper+heat+sink&amp;rlz=1C1CHBF_enUS862US863&amp;biw=1536&amp;bih=722&amp;tbm=shop&amp;sxsrf=ALeKk03hNIh0K6hBX6GgVq052wz3WNwj-w%3A1619132585463&amp;ei=qQCCYPneG9SB9u8P38WI6Ao&amp;oq=Copper+Heat+Sink&amp;gs_lcp=Cgtwcm9kdWN0cy1jYxABGAAyAggAMgIIADIGCAAQChAYMgQIABAYMgQIABAYMgQIABAYMgQIABAYMgQIABAYMgQIABAYMgQIABAYULXwCVi18Alg1_gJaABwAHgAgAGHAYgBhwGSAQMwLjGYAQCgAQKgAQHAAQE&amp;sclient=products-cc" TargetMode="External"/><Relationship Id="rId25" Type="http://schemas.openxmlformats.org/officeDocument/2006/relationships/hyperlink" Target="https://www.made-in-china.com/productdirectory.do?word=Stability+Ball+Bearing&amp;file=&amp;subaction=hunt&amp;style=b&amp;mode=and&amp;code=0&amp;comProvince=nolimit&amp;order=0&amp;isOpenCorrection=1" TargetMode="External"/><Relationship Id="rId2" Type="http://schemas.openxmlformats.org/officeDocument/2006/relationships/hyperlink" Target="https://www.waste360.com/business/recycled-hdpe-prices-climb-while-pet-pp-prices-fall" TargetMode="External"/><Relationship Id="rId16" Type="http://schemas.openxmlformats.org/officeDocument/2006/relationships/hyperlink" Target="https://www.google.com/search?q=copper+heat+sink&amp;rlz=1C1CHBF_enUS862US863&amp;biw=1536&amp;bih=722&amp;tbm=shop&amp;sxsrf=ALeKk03hNIh0K6hBX6GgVq052wz3WNwj-w%3A1619132585463&amp;ei=qQCCYPneG9SB9u8P38WI6Ao&amp;oq=Copper+Heat+Sink&amp;gs_lcp=Cgtwcm9kdWN0cy1jYxABGAAyAggAMgIIADIGCAAQChAYMgQIABAYMgQIABAYMgQIABAYMgQIABAYMgQIABAYMgQIABAYMgQIABAYULXwCVi18Alg1_gJaABwAHgAgAGHAYgBhwGSAQMwLjGYAQCgAQKgAQHAAQE&amp;sclient=products-cc" TargetMode="External"/><Relationship Id="rId20" Type="http://schemas.openxmlformats.org/officeDocument/2006/relationships/hyperlink" Target="https://www.made-in-china.com/productdirectory.do?word=tiny+Axle&amp;file=&amp;subaction=hunt&amp;style=b&amp;mode=and&amp;code=0&amp;comProvince=nolimit&amp;order=0&amp;isOpenCorrection=1" TargetMode="External"/><Relationship Id="rId29" Type="http://schemas.openxmlformats.org/officeDocument/2006/relationships/drawing" Target="../drawings/drawing11.xml"/><Relationship Id="rId1" Type="http://schemas.openxmlformats.org/officeDocument/2006/relationships/hyperlink" Target="https://www.amazon.com/Anker-Charging-MacBook-Galaxy-Charger/dp/B088NRLMPV/ref=sr_1_2_sspa?dchild=1&amp;keywords=usb+c+cable&amp;qid=1619132079&amp;sr=8-2-spons&amp;psc=1&amp;spLa=ZW5jcnlwdGVkUXVhbGlmaWVyPUFaWUw4Qk1HREExME4mZW5jcnlwdGVkSWQ9QTA0MDcxMjgzSldVRjFPMUMzQlJHJmVuY3J5cHRlZEFkSWQ9QTAwMzQxNjVaNkRXTURSTVVNVEImd2lkZ2V0TmFtZT1zcF9hdGYmYWN0aW9uPWNsaWNrUmVkaXJlY3QmZG9Ob3RMb2dDbGljaz10cnVl" TargetMode="External"/><Relationship Id="rId6" Type="http://schemas.openxmlformats.org/officeDocument/2006/relationships/hyperlink" Target="https://www.alibaba.com/product-detail/Module-Esp8266-Module-Ai-Thinker-Industrial_62375090444.html?spm=a2700.galleryofferlist.normal_offer.3.2eb65ce2wy4cfM&amp;s=p" TargetMode="External"/><Relationship Id="rId11" Type="http://schemas.openxmlformats.org/officeDocument/2006/relationships/hyperlink" Target="https://www.newark.com/stmicroelectronics/stm32l053r8t6/product-range-stm32-family-stm32l0/dp/28AC3380?gclid=Cj0KCQjwvYSEBhDjARIsAJMn0lhr4FfZiX7QWuVtE48Ks_Pmgveo_YBIXHao_a0YDzEEpIDiTlp1AmQaAk9JEALw_wcB&amp;mckv=sQC90ZXjs_dc|pcrid|492622077332|plid||kword||match||slid||product|28AC3380|pgrid|108905520410|ptaid|pla-902764019999|&amp;CMP=KNC-GUSA-GEN-Shopping-NewStructure-Gen-Semiconductors-ICs" TargetMode="External"/><Relationship Id="rId24" Type="http://schemas.openxmlformats.org/officeDocument/2006/relationships/hyperlink" Target="https://zhongdamotor.en.made-in-china.com/?gclid=Cj0KCQjwvYSEBhDjARIsAJMn0lhuipoS-QtIh64Scsv5eOctA9InCEjBUSObEQBr8pYvbqwfAEYDITUaArIVEALw_wcB" TargetMode="External"/><Relationship Id="rId5" Type="http://schemas.openxmlformats.org/officeDocument/2006/relationships/hyperlink" Target="https://www.alibaba.com/product-detail/Inductors-Inductor-Coil-Inductors-Air-Coil_279508874.html?spm=a2700.galleryofferlist.topad_creative.3.5686f3c12ks5PX" TargetMode="External"/><Relationship Id="rId15" Type="http://schemas.openxmlformats.org/officeDocument/2006/relationships/hyperlink" Target="https://www.digikey.com/en/products/detail/stmicro/M24SR02-YMN6T%2F2/4693616?utm_adgroup=RF%2FIF%20and%20RFID&amp;utm_source=google&amp;utm_medium=cpc&amp;utm_campaign=Shopping_Supplier_STMicroelectronics_0497_Co-op&amp;utm_term=&amp;utm_content=RF%2FIF%20and%20RFID&amp;gclid=Cj0KCQjwvYSEBhDjARIsAJMn0lhm9sw3cFELK0JPQhjabwZ9XqRyn6XEd_EThHstyLUGZMOWBpAdomgaAqVqEALw_wcB" TargetMode="External"/><Relationship Id="rId23" Type="http://schemas.openxmlformats.org/officeDocument/2006/relationships/hyperlink" Target="https://fbelemould.en.made-in-china.com/product-group/weoJvlnYZphN/speaker-catalog-1.html" TargetMode="External"/><Relationship Id="rId28" Type="http://schemas.openxmlformats.org/officeDocument/2006/relationships/printerSettings" Target="../printerSettings/printerSettings6.bin"/><Relationship Id="rId10" Type="http://schemas.openxmlformats.org/officeDocument/2006/relationships/hyperlink" Target="https://www.alibaba.com/product-detail/Small-Wheel-Metal-Custom-High-Performance_1600183738720.html?spm=a2700.galleryofferlist.normal_offer.d_title.719c4101gV1w22&amp;s=p" TargetMode="External"/><Relationship Id="rId19" Type="http://schemas.openxmlformats.org/officeDocument/2006/relationships/hyperlink" Target="https://www.electromaker.io/shop/product/lithium-ion-polymer-battery-with-short-cable-37v-350mah" TargetMode="External"/><Relationship Id="rId4" Type="http://schemas.openxmlformats.org/officeDocument/2006/relationships/hyperlink" Target="https://www.alibaba.com/product-detail/Cable-C-Usb-Cables-Usb-A_1600176533549.html?spm=a2700.galleryofferlist.normal_offer.d_image.fc1e5404TrM4GV&amp;s=p" TargetMode="External"/><Relationship Id="rId9" Type="http://schemas.openxmlformats.org/officeDocument/2006/relationships/hyperlink" Target="https://www.alibaba.com/product-detail/NEW-ORIGINAL-China-PCB-Manufacturer-One_62220005338.html?spm=a2700.galleryofferlist.topad_classic.d_title.1a141c23023cVv" TargetMode="External"/><Relationship Id="rId14" Type="http://schemas.openxmlformats.org/officeDocument/2006/relationships/hyperlink" Target="https://www.arrow.com/en/products/m24512-dfdw6tp/stmicroelectronics" TargetMode="External"/><Relationship Id="rId22" Type="http://schemas.openxmlformats.org/officeDocument/2006/relationships/hyperlink" Target="https://www.coilcraft.com/en-us/products/power/shielded-inductors/molded-inductor/" TargetMode="External"/><Relationship Id="rId27" Type="http://schemas.openxmlformats.org/officeDocument/2006/relationships/hyperlink" Target="https://store.miscospeakers.com/1-2-x-2-8-inch-wide-range-speaker-93010" TargetMode="Externa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
  <sheetViews>
    <sheetView zoomScale="74" workbookViewId="0">
      <selection activeCell="P52" sqref="P52"/>
    </sheetView>
  </sheetViews>
  <sheetFormatPr baseColWidth="10" defaultColWidth="14.33203125" defaultRowHeight="15.75" customHeight="1"/>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41"/>
  <sheetViews>
    <sheetView tabSelected="1" workbookViewId="0">
      <selection activeCell="B19" sqref="B19"/>
    </sheetView>
  </sheetViews>
  <sheetFormatPr baseColWidth="10" defaultColWidth="14.33203125" defaultRowHeight="15.75" customHeight="1"/>
  <cols>
    <col min="1" max="1" width="23.33203125" customWidth="1"/>
    <col min="3" max="3" width="23.33203125" customWidth="1"/>
    <col min="5" max="5" width="36.1640625" customWidth="1"/>
    <col min="6" max="6" width="17.33203125" customWidth="1"/>
    <col min="7" max="7" width="25" bestFit="1" customWidth="1"/>
  </cols>
  <sheetData>
    <row r="1" spans="1:7" ht="15.75" customHeight="1">
      <c r="A1" s="1" t="s">
        <v>971</v>
      </c>
      <c r="B1" s="1549"/>
    </row>
    <row r="3" spans="1:7" s="312" customFormat="1" ht="18" customHeight="1">
      <c r="A3" s="882" t="s">
        <v>1</v>
      </c>
      <c r="C3" s="882" t="s">
        <v>2</v>
      </c>
      <c r="D3" s="904"/>
      <c r="E3" s="882" t="s">
        <v>3</v>
      </c>
      <c r="F3" s="904"/>
      <c r="G3" s="9" t="s">
        <v>1096</v>
      </c>
    </row>
    <row r="4" spans="1:7" s="312" customFormat="1" ht="18" customHeight="1">
      <c r="A4" s="1004" t="s">
        <v>832</v>
      </c>
      <c r="B4" s="904"/>
      <c r="C4" s="1004" t="s">
        <v>835</v>
      </c>
      <c r="E4" s="1005" t="s">
        <v>11</v>
      </c>
      <c r="G4" s="1004" t="s">
        <v>1097</v>
      </c>
    </row>
    <row r="5" spans="1:7" s="312" customFormat="1" ht="18" customHeight="1">
      <c r="A5" s="2"/>
      <c r="B5" s="904"/>
      <c r="C5" s="2"/>
      <c r="D5" s="904"/>
      <c r="E5" s="1004" t="s">
        <v>842</v>
      </c>
      <c r="F5" s="904"/>
      <c r="G5" s="1702"/>
    </row>
    <row r="6" spans="1:7" s="312" customFormat="1" ht="18" customHeight="1">
      <c r="A6" s="1004" t="s">
        <v>83</v>
      </c>
      <c r="B6" s="904"/>
      <c r="C6" s="1006" t="s">
        <v>962</v>
      </c>
      <c r="D6" s="904"/>
      <c r="F6" s="904"/>
      <c r="G6" s="1004" t="s">
        <v>1120</v>
      </c>
    </row>
    <row r="7" spans="1:7" s="312" customFormat="1" ht="18" customHeight="1">
      <c r="A7" s="2"/>
      <c r="B7" s="904"/>
      <c r="D7" s="904"/>
      <c r="E7" s="1004" t="s">
        <v>591</v>
      </c>
      <c r="F7" s="904"/>
      <c r="G7" s="1702"/>
    </row>
    <row r="8" spans="1:7" s="312" customFormat="1" ht="18" customHeight="1">
      <c r="A8" s="1004" t="s">
        <v>118</v>
      </c>
      <c r="B8" s="904"/>
      <c r="C8" s="1004" t="s">
        <v>836</v>
      </c>
      <c r="D8" s="904"/>
      <c r="F8" s="904"/>
      <c r="G8" s="1004" t="s">
        <v>1099</v>
      </c>
    </row>
    <row r="9" spans="1:7" s="312" customFormat="1" ht="18" customHeight="1">
      <c r="A9" s="2"/>
      <c r="B9" s="904"/>
      <c r="C9" s="2"/>
      <c r="D9" s="904"/>
      <c r="E9" s="1006" t="s">
        <v>942</v>
      </c>
      <c r="F9" s="904"/>
      <c r="G9" s="1702"/>
    </row>
    <row r="10" spans="1:7" s="312" customFormat="1" ht="18" customHeight="1">
      <c r="A10" s="1004" t="s">
        <v>833</v>
      </c>
      <c r="B10" s="904"/>
      <c r="C10" s="1004" t="s">
        <v>837</v>
      </c>
      <c r="D10" s="904"/>
      <c r="F10" s="904"/>
      <c r="G10" s="1004" t="s">
        <v>1100</v>
      </c>
    </row>
    <row r="11" spans="1:7" s="312" customFormat="1" ht="18" customHeight="1">
      <c r="A11" s="2"/>
      <c r="B11" s="904"/>
      <c r="C11" s="2"/>
      <c r="D11" s="904"/>
      <c r="E11" s="1004" t="s">
        <v>845</v>
      </c>
      <c r="F11" s="904"/>
      <c r="G11" s="1702"/>
    </row>
    <row r="12" spans="1:7" s="312" customFormat="1" ht="18" customHeight="1">
      <c r="A12" s="1004" t="s">
        <v>834</v>
      </c>
      <c r="B12" s="904"/>
      <c r="C12" s="1004" t="s">
        <v>839</v>
      </c>
      <c r="D12" s="904"/>
      <c r="F12" s="904"/>
      <c r="G12" s="1004" t="s">
        <v>1101</v>
      </c>
    </row>
    <row r="13" spans="1:7" s="312" customFormat="1" ht="18" customHeight="1">
      <c r="A13" s="904"/>
      <c r="B13" s="904"/>
      <c r="C13" s="2"/>
      <c r="D13" s="904"/>
      <c r="F13" s="904"/>
    </row>
    <row r="14" spans="1:7" s="312" customFormat="1" ht="18" customHeight="1">
      <c r="A14" s="904"/>
      <c r="B14" s="904"/>
      <c r="C14" s="1004" t="s">
        <v>838</v>
      </c>
      <c r="D14" s="904"/>
      <c r="E14" s="1005" t="s">
        <v>605</v>
      </c>
      <c r="F14" s="904"/>
      <c r="G14" s="1004" t="s">
        <v>1098</v>
      </c>
    </row>
    <row r="15" spans="1:7" s="312" customFormat="1" ht="18" customHeight="1">
      <c r="A15" s="904"/>
      <c r="B15" s="904"/>
      <c r="C15" s="2"/>
      <c r="D15" s="904"/>
      <c r="G15" s="1579"/>
    </row>
    <row r="16" spans="1:7" s="312" customFormat="1" ht="18" customHeight="1">
      <c r="A16" s="904"/>
      <c r="B16" s="904"/>
      <c r="C16" s="1004" t="s">
        <v>963</v>
      </c>
      <c r="D16" s="904"/>
      <c r="E16" s="1004" t="s">
        <v>840</v>
      </c>
      <c r="G16" s="904"/>
    </row>
    <row r="17" spans="1:7" s="312" customFormat="1" ht="18" customHeight="1">
      <c r="A17" s="904"/>
      <c r="B17" s="904"/>
      <c r="C17" s="2"/>
      <c r="D17" s="904"/>
      <c r="F17" s="904"/>
      <c r="G17" s="904"/>
    </row>
    <row r="18" spans="1:7" s="312" customFormat="1" ht="18" customHeight="1">
      <c r="A18" s="904"/>
      <c r="B18" s="904"/>
      <c r="C18" s="904"/>
      <c r="D18" s="904"/>
      <c r="E18" s="1004" t="s">
        <v>844</v>
      </c>
      <c r="F18" s="904"/>
      <c r="G18" s="904"/>
    </row>
    <row r="19" spans="1:7" s="312" customFormat="1" ht="18" customHeight="1">
      <c r="A19" s="904"/>
      <c r="B19" s="904"/>
      <c r="C19" s="2"/>
      <c r="D19" s="904"/>
      <c r="F19" s="904"/>
      <c r="G19" s="904"/>
    </row>
    <row r="20" spans="1:7" s="312" customFormat="1" ht="18" customHeight="1">
      <c r="A20" s="904"/>
      <c r="B20" s="904"/>
      <c r="C20" s="904"/>
      <c r="D20" s="904"/>
      <c r="E20" s="1004" t="s">
        <v>398</v>
      </c>
      <c r="F20" s="904"/>
      <c r="G20" s="904"/>
    </row>
    <row r="21" spans="1:7" s="312" customFormat="1" ht="18" customHeight="1">
      <c r="A21" s="904"/>
      <c r="B21" s="904"/>
      <c r="C21" s="2"/>
      <c r="D21" s="904"/>
      <c r="F21" s="904"/>
      <c r="G21" s="904"/>
    </row>
    <row r="22" spans="1:7" s="312" customFormat="1" ht="17">
      <c r="A22" s="904"/>
      <c r="B22" s="904"/>
      <c r="C22" s="904"/>
      <c r="D22" s="904"/>
      <c r="E22" s="1954" t="s">
        <v>1207</v>
      </c>
      <c r="F22" s="904"/>
      <c r="G22" s="904"/>
    </row>
    <row r="23" spans="1:7" s="312" customFormat="1" ht="18" customHeight="1">
      <c r="A23" s="904"/>
      <c r="B23" s="904"/>
      <c r="C23" s="904"/>
      <c r="D23" s="904"/>
      <c r="F23" s="904"/>
      <c r="G23" s="904"/>
    </row>
    <row r="24" spans="1:7" s="312" customFormat="1" ht="18" customHeight="1">
      <c r="A24" s="904"/>
      <c r="B24" s="904"/>
      <c r="C24" s="904"/>
      <c r="D24" s="904"/>
      <c r="E24" s="1004" t="s">
        <v>433</v>
      </c>
      <c r="F24" s="904"/>
      <c r="G24" s="904"/>
    </row>
    <row r="25" spans="1:7" s="312" customFormat="1" ht="18" customHeight="1">
      <c r="A25" s="904"/>
      <c r="B25" s="904"/>
      <c r="C25" s="904"/>
      <c r="D25" s="904"/>
      <c r="F25" s="904"/>
      <c r="G25" s="904"/>
    </row>
    <row r="26" spans="1:7" s="312" customFormat="1" ht="18" customHeight="1">
      <c r="A26" s="904"/>
      <c r="B26" s="904"/>
      <c r="C26" s="904"/>
      <c r="D26" s="904"/>
      <c r="F26" s="904"/>
      <c r="G26" s="904"/>
    </row>
    <row r="27" spans="1:7" s="312" customFormat="1" ht="18" customHeight="1">
      <c r="A27" s="904"/>
      <c r="B27" s="904"/>
      <c r="C27" s="904"/>
      <c r="D27" s="904"/>
      <c r="E27" s="1005" t="s">
        <v>1121</v>
      </c>
      <c r="F27" s="904"/>
      <c r="G27" s="904"/>
    </row>
    <row r="28" spans="1:7" s="312" customFormat="1" ht="18" customHeight="1">
      <c r="A28" s="904"/>
      <c r="B28" s="904"/>
      <c r="C28" s="904"/>
      <c r="D28" s="904"/>
      <c r="E28" s="2"/>
      <c r="F28" s="904"/>
      <c r="G28" s="904"/>
    </row>
    <row r="29" spans="1:7" s="312" customFormat="1" ht="18" customHeight="1">
      <c r="A29" s="904"/>
      <c r="B29" s="904"/>
      <c r="C29" s="904"/>
      <c r="D29" s="904"/>
      <c r="E29" s="1004" t="s">
        <v>841</v>
      </c>
      <c r="F29" s="904"/>
      <c r="G29" s="904"/>
    </row>
    <row r="30" spans="1:7" s="312" customFormat="1" ht="18" customHeight="1">
      <c r="A30" s="904"/>
      <c r="B30" s="904"/>
      <c r="C30" s="904"/>
      <c r="D30" s="904"/>
      <c r="E30" s="2"/>
      <c r="F30" s="904"/>
      <c r="G30" s="904"/>
    </row>
    <row r="31" spans="1:7" s="312" customFormat="1" ht="18" customHeight="1">
      <c r="A31" s="904"/>
      <c r="B31" s="904"/>
      <c r="C31" s="904"/>
      <c r="D31" s="904"/>
      <c r="E31" s="1004" t="s">
        <v>1140</v>
      </c>
    </row>
    <row r="32" spans="1:7" s="312" customFormat="1" ht="18" customHeight="1">
      <c r="A32" s="904"/>
      <c r="B32" s="904"/>
      <c r="C32" s="904"/>
      <c r="D32" s="904"/>
      <c r="E32" s="2"/>
      <c r="F32" s="904"/>
      <c r="G32" s="2"/>
    </row>
    <row r="33" spans="1:7" s="312" customFormat="1" ht="18" customHeight="1">
      <c r="A33" s="904"/>
      <c r="B33" s="904"/>
      <c r="C33" s="904"/>
      <c r="D33" s="904"/>
      <c r="E33" s="1006" t="s">
        <v>960</v>
      </c>
      <c r="F33" s="904"/>
    </row>
    <row r="34" spans="1:7" s="312" customFormat="1" ht="18" customHeight="1">
      <c r="A34" s="904"/>
      <c r="B34" s="904"/>
      <c r="C34" s="904"/>
      <c r="D34" s="904"/>
      <c r="F34" s="904"/>
      <c r="G34" s="2"/>
    </row>
    <row r="35" spans="1:7" s="312" customFormat="1" ht="18" customHeight="1">
      <c r="A35" s="904"/>
      <c r="B35" s="904"/>
      <c r="C35" s="904"/>
      <c r="D35" s="904"/>
      <c r="E35" s="1006" t="s">
        <v>1148</v>
      </c>
      <c r="F35" s="904"/>
    </row>
    <row r="36" spans="1:7" s="312" customFormat="1" ht="18" customHeight="1">
      <c r="A36" s="904"/>
      <c r="B36" s="904"/>
      <c r="C36" s="904"/>
      <c r="D36" s="904"/>
      <c r="F36" s="904"/>
      <c r="G36" s="2"/>
    </row>
    <row r="37" spans="1:7" ht="16">
      <c r="A37" s="3"/>
      <c r="B37" s="3"/>
      <c r="C37" s="3"/>
      <c r="D37" s="3"/>
      <c r="E37" s="1004" t="s">
        <v>1147</v>
      </c>
      <c r="F37" s="3"/>
    </row>
    <row r="39" spans="1:7" ht="15.75" customHeight="1">
      <c r="E39" s="1006" t="s">
        <v>1122</v>
      </c>
    </row>
    <row r="40" spans="1:7" ht="15.75" customHeight="1">
      <c r="E40" s="312"/>
    </row>
    <row r="41" spans="1:7" ht="15.75" customHeight="1">
      <c r="E41" s="1004" t="s">
        <v>843</v>
      </c>
    </row>
  </sheetData>
  <hyperlinks>
    <hyperlink ref="A4" location="'FE Finance Assumptions'!A1" display="Finance Assumptions" xr:uid="{E4EEA6ED-D75E-4719-8837-160266480C77}"/>
    <hyperlink ref="A6" location="'FE Income Statement'!A1" display="Income Statement" xr:uid="{9CD2E9BB-035E-40F1-9FFA-BB3F24B31D34}"/>
    <hyperlink ref="A8" location="'FE Balance Sheet'!A1" display="Balance Sheet" xr:uid="{0E3FE03A-3609-4A1D-890E-58507C1A1AB9}"/>
    <hyperlink ref="A10" location="'FE Cash Flow'!A1" display="Cash Flow" xr:uid="{07D87C61-9E0C-4A7C-A66C-FE50C19A4BD0}"/>
    <hyperlink ref="A12" location="'FE Receivables Payables'!A1" display="Receivables/Payables" xr:uid="{0AFFE493-BE77-4A40-ABEB-DD26214300F8}"/>
    <hyperlink ref="C4" location="'MK Segmentation'!A1" display="Segmentation" xr:uid="{1AC3A4DE-56A5-4F13-AFF9-C86E3A025989}"/>
    <hyperlink ref="C8" location="'MK Bases Model (Base Case)'!A1" display="Bases Model" xr:uid="{BF00B66D-1F62-4688-8A96-C8EF93EB15DB}"/>
    <hyperlink ref="C10" location="'MK Price to channel'!A1" display="Price to Channel" xr:uid="{AF85E614-51CF-4FAA-A36F-106C88215E15}"/>
    <hyperlink ref="C12" location="'MK ACV'!A1" display="ACV Summary" xr:uid="{E2A31A98-6294-4C9F-ACED-A5FF5518D6D4}"/>
    <hyperlink ref="C14" location="'MK IMC Schedule Y1-Y5'!A1" display="IMC Schedules" xr:uid="{7372B120-440D-4DE5-858D-5A8BFBA0768E}"/>
    <hyperlink ref="E16" location="'OM BOM EOQ Y0-Y5'!A1" display="BOM/EOQ" xr:uid="{05753E57-CF52-4D0B-93A7-03317859EA33}"/>
    <hyperlink ref="E29" location="'OM PERT Model for Demand &amp; Lead'!A1" display="PERT Model for Demand &amp; Lead" xr:uid="{4425B9D9-71A4-47EC-B81B-CEDA6BA2F9C5}"/>
    <hyperlink ref="E20" location="'OM Service Level'!A1" display="Service Level" xr:uid="{817601CD-E440-46D6-B3E8-CC30C0E08652}"/>
    <hyperlink ref="E22" location="'OM Year0-5 Inventory Management'!A1" display="Inventory Management (RM, WIP, FG)" xr:uid="{CAD5720B-6388-4638-89F1-480F8853A04F}"/>
    <hyperlink ref="E24" location="'OM Inventory Summary Table'!A1" display="Inventory Summary" xr:uid="{679C7777-C368-4400-8ED3-AC3CA1F51727}"/>
    <hyperlink ref="E5" location="'OM Manufacturing Assumptions'!A1" display="Manufacturing Assumptions" xr:uid="{1B28047D-0A9F-4193-AC04-3CCDC64AD8E7}"/>
    <hyperlink ref="E31" location="'OM Aggregate Hybrid Plan Y0-5'!A1" display="Aggregate Hybrid Plan" xr:uid="{814D9CAC-46E4-4269-BB29-0650CAB11B9C}"/>
    <hyperlink ref="E7" location="'OM Labor Costs'!A1" display="Labor Cost" xr:uid="{8C6A803B-00B1-40D3-80C4-204513027E63}"/>
    <hyperlink ref="E41" location="'OM Costs Pie Charts Y0-Y5'!A1" display="Costs Pie Charts" xr:uid="{0E545968-3419-4118-911B-09B181B71C0E}"/>
    <hyperlink ref="E18" location="'OM COGS Yr 0-5'!A1" display="COGS " xr:uid="{CC8D80EA-1A4F-4560-8642-14FF6F2EE1AD}"/>
    <hyperlink ref="E37" location="'OM Logistics &amp; Transportation'!A1" display="Logistics &amp; Transportation" xr:uid="{CAFA01CE-97DE-4F35-AF57-DC7F0B306018}"/>
    <hyperlink ref="E11" location="'OM Depreciation'!A1" display="Depreciation" xr:uid="{D796BF95-7B24-4AA2-A933-95B0AA4E5FD7}"/>
    <hyperlink ref="E9" location="'OM Capacity Planning'!A1" display="Capacity Planning" xr:uid="{CA1B8D21-341F-0D41-8554-FC100B0CF060}"/>
    <hyperlink ref="E33" location="'OM Aggregate Chase &amp; Level Plan'!A1" display="Aggregate Chase &amp; Level Plans" xr:uid="{917D0F14-3722-7944-9814-3FA083F08094}"/>
    <hyperlink ref="C6" location="'MK Purchase Intent &amp; Price'!A1" display="Purchase Intent &amp; Price" xr:uid="{5E55A6FE-C764-F14D-8A96-E322D314E45E}"/>
    <hyperlink ref="C16" location="'MK IMC Y1-Y5 Summary'!A1" display="IMC Summary" xr:uid="{A3FFA07E-AABC-0942-8B57-1064DD24A0E6}"/>
    <hyperlink ref="G4" location="'QM Influence Chart'!A1" display="Influence Chart" xr:uid="{F8BBA56D-B718-984C-9B79-7CBC815808FB}"/>
    <hyperlink ref="G6" location="'QM Sensitivity Analysis'!A1" display="Sensitivity Analysis" xr:uid="{B222BA7A-E810-D34C-BD45-4763C011A40E}"/>
    <hyperlink ref="G14" location="'QM Simulation Summary'!A1" display="Simulation Summary" xr:uid="{25F3BF97-BF8B-D243-8089-A07724490835}"/>
    <hyperlink ref="G8" location="'QM Simulation 1'!A1" display="Simulation 1" xr:uid="{A4887BBD-C25B-F94D-805A-B5F7543A107F}"/>
    <hyperlink ref="G10" location="'QM Simulation 2'!A1" display="Simulation 2" xr:uid="{8F29B5C9-21B1-5344-95F5-1E27D4120504}"/>
    <hyperlink ref="G12" location="'QM All Variables Simulation'!A1" display="All Variables Simulation" xr:uid="{23D0DDBA-A306-9C45-B3CC-A2B72A7BF332}"/>
    <hyperlink ref="E39" location="'OM Facility Location Planning'!A1" display="Facility Location Planning" xr:uid="{AE440634-2F53-6847-B3AC-7F74BF6639E3}"/>
    <hyperlink ref="E35" location="'OM Inbound Logistics'!A1" display="Inbound Logistics" xr:uid="{11ED17DE-6D96-6C4F-BE12-BB01D949C90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6"/>
  <sheetViews>
    <sheetView workbookViewId="0"/>
  </sheetViews>
  <sheetFormatPr baseColWidth="10" defaultColWidth="14.33203125" defaultRowHeight="15.75" customHeight="1"/>
  <sheetData>
    <row r="1" spans="1:10" ht="15.75" customHeight="1">
      <c r="A1" s="18" t="s">
        <v>13</v>
      </c>
      <c r="D1" s="18" t="s">
        <v>14</v>
      </c>
      <c r="J1" s="17">
        <v>1</v>
      </c>
    </row>
    <row r="4" spans="1:10" ht="15.75" customHeight="1">
      <c r="A4" s="18" t="s">
        <v>15</v>
      </c>
    </row>
    <row r="6" spans="1:10" ht="15.75" customHeight="1">
      <c r="A6" s="18" t="s">
        <v>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
  <sheetViews>
    <sheetView workbookViewId="0"/>
  </sheetViews>
  <sheetFormatPr baseColWidth="10" defaultColWidth="14.33203125" defaultRowHeight="15.75" customHeight="1"/>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
  <sheetViews>
    <sheetView workbookViewId="0"/>
  </sheetViews>
  <sheetFormatPr baseColWidth="10" defaultColWidth="14.33203125" defaultRowHeight="15.7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6"/>
  <sheetViews>
    <sheetView workbookViewId="0"/>
  </sheetViews>
  <sheetFormatPr baseColWidth="10" defaultColWidth="14.33203125" defaultRowHeight="15.75" customHeight="1"/>
  <sheetData>
    <row r="1" spans="1:4" ht="15.75" customHeight="1">
      <c r="A1" s="18" t="s">
        <v>17</v>
      </c>
      <c r="D1" s="18" t="s">
        <v>18</v>
      </c>
    </row>
    <row r="4" spans="1:4" ht="15.75" customHeight="1">
      <c r="A4" s="18" t="s">
        <v>19</v>
      </c>
    </row>
    <row r="6" spans="1:4" ht="15.75" customHeight="1">
      <c r="A6" s="18" t="s">
        <v>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
  <sheetViews>
    <sheetView workbookViewId="0"/>
  </sheetViews>
  <sheetFormatPr baseColWidth="10" defaultColWidth="14.33203125" defaultRowHeight="15.7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outlinePr summaryBelow="0" summaryRight="0"/>
  </sheetPr>
  <dimension ref="A1:Y1001"/>
  <sheetViews>
    <sheetView zoomScale="56" zoomScaleNormal="90" workbookViewId="0">
      <selection activeCell="C54" sqref="C54"/>
    </sheetView>
  </sheetViews>
  <sheetFormatPr baseColWidth="10" defaultColWidth="14.33203125" defaultRowHeight="15.75" customHeight="1"/>
  <cols>
    <col min="1" max="1" width="106.33203125" customWidth="1"/>
    <col min="2" max="2" width="14.6640625" customWidth="1"/>
    <col min="3" max="3" width="19.6640625" customWidth="1"/>
    <col min="4" max="4" width="17.83203125" customWidth="1"/>
    <col min="5" max="5" width="17.1640625" customWidth="1"/>
    <col min="6" max="6" width="18.33203125" customWidth="1"/>
    <col min="7" max="7" width="17.5" customWidth="1"/>
    <col min="8" max="8" width="10.6640625" bestFit="1" customWidth="1"/>
    <col min="9" max="13" width="13.1640625" customWidth="1"/>
  </cols>
  <sheetData>
    <row r="1" spans="1:25" ht="26">
      <c r="A1" s="4" t="s">
        <v>0</v>
      </c>
      <c r="B1" s="7"/>
      <c r="C1" s="19"/>
      <c r="D1" s="7"/>
      <c r="E1" s="7"/>
      <c r="F1" s="7"/>
      <c r="G1" s="7"/>
      <c r="H1" s="7"/>
      <c r="J1" s="20"/>
      <c r="K1" s="7"/>
      <c r="L1" s="21"/>
      <c r="M1" s="7"/>
      <c r="N1" s="7"/>
      <c r="O1" s="7"/>
      <c r="P1" s="7"/>
      <c r="Q1" s="7"/>
      <c r="R1" s="7"/>
      <c r="S1" s="7"/>
      <c r="T1" s="7"/>
      <c r="U1" s="7"/>
      <c r="V1" s="7"/>
      <c r="W1" s="7"/>
      <c r="X1" s="7"/>
      <c r="Y1" s="7"/>
    </row>
    <row r="2" spans="1:25" ht="15.75" customHeight="1">
      <c r="K2" s="7"/>
      <c r="L2" s="21"/>
      <c r="M2" s="7"/>
      <c r="N2" s="7"/>
      <c r="O2" s="7"/>
      <c r="P2" s="7"/>
      <c r="Q2" s="7"/>
      <c r="R2" s="7"/>
      <c r="S2" s="7"/>
      <c r="T2" s="7"/>
      <c r="U2" s="7"/>
      <c r="V2" s="7"/>
      <c r="W2" s="7"/>
      <c r="X2" s="7"/>
      <c r="Y2" s="7"/>
    </row>
    <row r="3" spans="1:25" ht="15.75" customHeight="1">
      <c r="A3" s="22" t="s">
        <v>11</v>
      </c>
      <c r="B3" s="23" t="s">
        <v>20</v>
      </c>
      <c r="C3" s="24" t="s">
        <v>20</v>
      </c>
      <c r="D3" s="23"/>
      <c r="E3" s="23"/>
      <c r="F3" s="23"/>
      <c r="G3" s="23"/>
      <c r="H3" s="23"/>
      <c r="I3" s="3"/>
      <c r="J3" s="25"/>
      <c r="K3" s="7"/>
      <c r="L3" s="21"/>
      <c r="M3" s="7"/>
      <c r="N3" s="7"/>
      <c r="O3" s="7"/>
      <c r="P3" s="7"/>
      <c r="Q3" s="7"/>
      <c r="R3" s="7"/>
      <c r="S3" s="7"/>
      <c r="T3" s="7"/>
      <c r="U3" s="7"/>
      <c r="V3" s="7"/>
      <c r="W3" s="7"/>
      <c r="X3" s="7"/>
      <c r="Y3" s="7"/>
    </row>
    <row r="4" spans="1:25" ht="15.75" customHeight="1">
      <c r="A4" s="24" t="s">
        <v>21</v>
      </c>
      <c r="B4" s="26" t="s">
        <v>22</v>
      </c>
      <c r="C4" s="26" t="s">
        <v>23</v>
      </c>
      <c r="D4" s="26" t="s">
        <v>24</v>
      </c>
      <c r="E4" s="26" t="s">
        <v>25</v>
      </c>
      <c r="F4" s="26" t="s">
        <v>26</v>
      </c>
      <c r="G4" s="26" t="s">
        <v>27</v>
      </c>
      <c r="H4" s="24"/>
      <c r="I4" s="14"/>
      <c r="J4" s="25"/>
      <c r="K4" s="7"/>
      <c r="L4" s="7"/>
      <c r="M4" s="7"/>
      <c r="N4" s="7"/>
      <c r="O4" s="7"/>
      <c r="P4" s="7"/>
      <c r="Q4" s="7"/>
      <c r="R4" s="7"/>
      <c r="S4" s="7"/>
      <c r="T4" s="7"/>
      <c r="U4" s="7"/>
      <c r="V4" s="7"/>
      <c r="W4" s="7"/>
      <c r="X4" s="7"/>
      <c r="Y4" s="7"/>
    </row>
    <row r="5" spans="1:25" ht="15.75" customHeight="1">
      <c r="A5" s="27" t="s">
        <v>20</v>
      </c>
      <c r="B5" s="28"/>
      <c r="C5" s="28"/>
      <c r="D5" s="28"/>
      <c r="E5" s="28"/>
      <c r="F5" s="23"/>
      <c r="G5" s="23"/>
      <c r="H5" s="23"/>
      <c r="I5" s="3"/>
      <c r="J5" s="23"/>
      <c r="K5" s="7"/>
      <c r="L5" s="7"/>
      <c r="M5" s="7"/>
      <c r="N5" s="7"/>
      <c r="O5" s="7"/>
      <c r="P5" s="7"/>
      <c r="Q5" s="7"/>
      <c r="R5" s="7"/>
      <c r="S5" s="7"/>
      <c r="T5" s="7"/>
      <c r="U5" s="7"/>
      <c r="V5" s="7"/>
      <c r="W5" s="7"/>
      <c r="X5" s="7"/>
      <c r="Y5" s="7"/>
    </row>
    <row r="6" spans="1:25" ht="15.75" customHeight="1">
      <c r="A6" s="29" t="s">
        <v>854</v>
      </c>
      <c r="B6" s="1958" t="s">
        <v>28</v>
      </c>
      <c r="C6" s="1956"/>
      <c r="D6" s="1956"/>
      <c r="E6" s="1957"/>
      <c r="F6" s="23"/>
      <c r="G6" s="23"/>
      <c r="H6" s="24"/>
      <c r="I6" s="3"/>
      <c r="J6" s="23"/>
      <c r="K6" s="7"/>
      <c r="L6" s="7"/>
      <c r="M6" s="7"/>
      <c r="N6" s="7"/>
      <c r="O6" s="7"/>
      <c r="P6" s="7"/>
      <c r="Q6" s="7"/>
      <c r="R6" s="7"/>
      <c r="S6" s="7"/>
      <c r="T6" s="7"/>
      <c r="U6" s="7"/>
      <c r="V6" s="7"/>
      <c r="W6" s="7"/>
      <c r="X6" s="7"/>
      <c r="Y6" s="7"/>
    </row>
    <row r="7" spans="1:25" ht="15.75" customHeight="1">
      <c r="A7" s="28"/>
      <c r="B7" s="28"/>
      <c r="C7" s="28"/>
      <c r="D7" s="28"/>
      <c r="E7" s="28"/>
      <c r="F7" s="28"/>
      <c r="G7" s="28"/>
      <c r="H7" s="23"/>
      <c r="I7" s="3"/>
      <c r="J7" s="23"/>
      <c r="K7" s="7"/>
      <c r="L7" s="7"/>
      <c r="M7" s="7"/>
      <c r="N7" s="7"/>
      <c r="O7" s="7"/>
      <c r="P7" s="7"/>
      <c r="Q7" s="7"/>
      <c r="R7" s="7"/>
      <c r="S7" s="7"/>
      <c r="T7" s="7"/>
      <c r="U7" s="7"/>
      <c r="V7" s="7"/>
      <c r="W7" s="7"/>
      <c r="X7" s="7"/>
      <c r="Y7" s="7"/>
    </row>
    <row r="8" spans="1:25" ht="15.75" customHeight="1">
      <c r="A8" s="1959" t="s">
        <v>29</v>
      </c>
      <c r="B8" s="1956"/>
      <c r="C8" s="1956"/>
      <c r="D8" s="1956"/>
      <c r="E8" s="1956"/>
      <c r="F8" s="1956"/>
      <c r="G8" s="1957"/>
      <c r="H8" s="23"/>
      <c r="I8" s="3"/>
      <c r="J8" s="23"/>
      <c r="K8" s="7"/>
      <c r="L8" s="7"/>
      <c r="M8" s="7"/>
      <c r="N8" s="7"/>
      <c r="O8" s="7"/>
      <c r="P8" s="7"/>
      <c r="Q8" s="7"/>
      <c r="R8" s="7"/>
      <c r="S8" s="7"/>
      <c r="T8" s="7"/>
      <c r="U8" s="7"/>
      <c r="V8" s="7"/>
      <c r="W8" s="7"/>
      <c r="X8" s="7"/>
      <c r="Y8" s="7"/>
    </row>
    <row r="9" spans="1:25" ht="15.75" customHeight="1">
      <c r="A9" s="28"/>
      <c r="B9" s="23"/>
      <c r="C9" s="23"/>
      <c r="D9" s="23"/>
      <c r="E9" s="23"/>
      <c r="F9" s="23"/>
      <c r="G9" s="23"/>
      <c r="H9" s="23"/>
      <c r="I9" s="3"/>
      <c r="J9" s="23"/>
      <c r="K9" s="7"/>
      <c r="L9" s="7"/>
      <c r="M9" s="7"/>
      <c r="N9" s="7"/>
      <c r="O9" s="7"/>
      <c r="P9" s="7"/>
      <c r="Q9" s="7"/>
      <c r="R9" s="7"/>
      <c r="S9" s="7"/>
      <c r="T9" s="7"/>
      <c r="U9" s="7"/>
      <c r="V9" s="7"/>
      <c r="W9" s="7"/>
      <c r="X9" s="7"/>
      <c r="Y9" s="7"/>
    </row>
    <row r="10" spans="1:25" ht="15.75" customHeight="1">
      <c r="A10" s="29" t="s">
        <v>30</v>
      </c>
      <c r="B10" s="28"/>
      <c r="C10" s="23"/>
      <c r="D10" s="23"/>
      <c r="E10" s="23"/>
      <c r="F10" s="23"/>
      <c r="G10" s="23"/>
      <c r="H10" s="23"/>
      <c r="I10" s="3"/>
      <c r="J10" s="23"/>
      <c r="K10" s="7"/>
      <c r="L10" s="7"/>
      <c r="M10" s="7"/>
      <c r="N10" s="7"/>
      <c r="O10" s="7"/>
      <c r="P10" s="7"/>
      <c r="Q10" s="7"/>
      <c r="R10" s="7"/>
      <c r="S10" s="7"/>
      <c r="T10" s="7"/>
      <c r="U10" s="7"/>
      <c r="V10" s="7"/>
      <c r="W10" s="7"/>
      <c r="X10" s="7"/>
      <c r="Y10" s="7"/>
    </row>
    <row r="11" spans="1:25" ht="15.75" customHeight="1">
      <c r="A11" s="31" t="s">
        <v>31</v>
      </c>
      <c r="B11" s="32">
        <f>'OM Depreciation'!B16</f>
        <v>366383.26</v>
      </c>
      <c r="C11" s="23"/>
      <c r="D11" s="23"/>
      <c r="E11" s="23"/>
      <c r="F11" s="23"/>
      <c r="G11" s="23"/>
      <c r="H11" s="23"/>
      <c r="I11" s="3"/>
      <c r="J11" s="23"/>
      <c r="K11" s="7"/>
      <c r="L11" s="7"/>
      <c r="M11" s="7"/>
      <c r="N11" s="7"/>
      <c r="O11" s="7"/>
      <c r="P11" s="7"/>
      <c r="Q11" s="7"/>
      <c r="R11" s="7"/>
      <c r="S11" s="7"/>
      <c r="T11" s="7"/>
      <c r="U11" s="7"/>
      <c r="V11" s="7"/>
      <c r="W11" s="7"/>
      <c r="X11" s="7"/>
      <c r="Y11" s="7"/>
    </row>
    <row r="12" spans="1:25" ht="15.75" customHeight="1">
      <c r="A12" s="28"/>
      <c r="B12" s="33"/>
      <c r="C12" s="833"/>
      <c r="D12" s="23"/>
      <c r="E12" s="23"/>
      <c r="F12" s="23"/>
      <c r="G12" s="23"/>
      <c r="H12" s="23"/>
      <c r="I12" s="3"/>
      <c r="J12" s="23"/>
      <c r="K12" s="7"/>
      <c r="L12" s="7"/>
      <c r="M12" s="7"/>
      <c r="N12" s="7"/>
      <c r="O12" s="7"/>
      <c r="P12" s="7"/>
      <c r="Q12" s="7"/>
      <c r="R12" s="7"/>
      <c r="S12" s="7"/>
      <c r="T12" s="7"/>
      <c r="U12" s="7"/>
      <c r="V12" s="7"/>
      <c r="W12" s="7"/>
      <c r="X12" s="7"/>
      <c r="Y12" s="7"/>
    </row>
    <row r="13" spans="1:25" ht="15.75" customHeight="1">
      <c r="A13" s="29" t="s">
        <v>32</v>
      </c>
      <c r="B13" s="33"/>
      <c r="C13" s="833"/>
      <c r="D13" s="23"/>
      <c r="E13" s="23"/>
      <c r="F13" s="23"/>
      <c r="G13" s="23"/>
      <c r="H13" s="23"/>
      <c r="I13" s="3"/>
      <c r="J13" s="23"/>
      <c r="K13" s="7"/>
      <c r="L13" s="7"/>
      <c r="M13" s="7"/>
      <c r="N13" s="7"/>
      <c r="O13" s="7"/>
      <c r="P13" s="7"/>
      <c r="Q13" s="7"/>
      <c r="R13" s="7"/>
      <c r="S13" s="7"/>
      <c r="T13" s="7"/>
      <c r="U13" s="7"/>
      <c r="V13" s="7"/>
      <c r="W13" s="7"/>
      <c r="X13" s="7"/>
      <c r="Y13" s="7"/>
    </row>
    <row r="14" spans="1:25" ht="15.75" customHeight="1">
      <c r="A14" s="13" t="s">
        <v>33</v>
      </c>
      <c r="B14" s="34">
        <v>0</v>
      </c>
      <c r="C14" s="833"/>
      <c r="D14" s="13"/>
      <c r="E14" s="23"/>
      <c r="F14" s="23"/>
      <c r="G14" s="23"/>
      <c r="H14" s="23"/>
      <c r="I14" s="3"/>
      <c r="J14" s="23"/>
      <c r="K14" s="7"/>
      <c r="L14" s="7"/>
      <c r="M14" s="7"/>
      <c r="N14" s="7"/>
      <c r="O14" s="7"/>
      <c r="P14" s="7"/>
      <c r="Q14" s="7"/>
      <c r="R14" s="7"/>
      <c r="S14" s="7"/>
      <c r="T14" s="7"/>
      <c r="U14" s="7"/>
      <c r="V14" s="7"/>
      <c r="W14" s="7"/>
      <c r="X14" s="7"/>
      <c r="Y14" s="7"/>
    </row>
    <row r="15" spans="1:25" ht="15.75" customHeight="1">
      <c r="A15" s="35" t="s">
        <v>34</v>
      </c>
      <c r="B15" s="36">
        <f>'OM Year0-5 Inventory Management'!C10+'OM Year0-5 Inventory Management'!C17</f>
        <v>15279.909752134474</v>
      </c>
      <c r="C15" s="833"/>
      <c r="D15" s="13"/>
      <c r="E15" s="23"/>
      <c r="F15" s="23"/>
      <c r="G15" s="23"/>
      <c r="H15" s="23"/>
      <c r="I15" s="3"/>
      <c r="J15" s="23"/>
      <c r="K15" s="7"/>
      <c r="L15" s="7"/>
      <c r="M15" s="7"/>
      <c r="N15" s="7"/>
      <c r="O15" s="7"/>
      <c r="P15" s="7"/>
      <c r="Q15" s="7"/>
      <c r="R15" s="7"/>
      <c r="S15" s="7"/>
      <c r="T15" s="7"/>
      <c r="U15" s="7"/>
      <c r="V15" s="7"/>
      <c r="W15" s="7"/>
      <c r="X15" s="7"/>
      <c r="Y15" s="7"/>
    </row>
    <row r="16" spans="1:25" ht="15.75" customHeight="1">
      <c r="A16" s="37" t="s">
        <v>35</v>
      </c>
      <c r="B16" s="38">
        <f>'OM Year0-5 Inventory Management'!C24</f>
        <v>13788.113245482979</v>
      </c>
      <c r="C16" s="833"/>
      <c r="D16" s="13"/>
      <c r="E16" s="23"/>
      <c r="F16" s="23"/>
      <c r="G16" s="23"/>
      <c r="H16" s="23"/>
      <c r="I16" s="3"/>
      <c r="J16" s="23"/>
      <c r="K16" s="7"/>
      <c r="L16" s="7"/>
      <c r="M16" s="7"/>
      <c r="N16" s="7"/>
      <c r="O16" s="7"/>
      <c r="P16" s="7"/>
      <c r="Q16" s="7"/>
      <c r="R16" s="7"/>
      <c r="S16" s="7"/>
      <c r="T16" s="7"/>
      <c r="U16" s="7"/>
      <c r="V16" s="7"/>
      <c r="W16" s="7"/>
      <c r="X16" s="7"/>
      <c r="Y16" s="7"/>
    </row>
    <row r="17" spans="1:25" ht="15.75" customHeight="1">
      <c r="A17" s="28"/>
      <c r="B17" s="33"/>
      <c r="C17" s="833"/>
      <c r="D17" s="39"/>
      <c r="E17" s="23"/>
      <c r="F17" s="23"/>
      <c r="G17" s="23"/>
      <c r="H17" s="23"/>
      <c r="I17" s="3"/>
      <c r="J17" s="23"/>
      <c r="K17" s="7"/>
      <c r="M17" s="7"/>
      <c r="N17" s="7"/>
      <c r="O17" s="7"/>
      <c r="P17" s="7"/>
      <c r="Q17" s="7"/>
      <c r="R17" s="7"/>
      <c r="S17" s="7"/>
      <c r="T17" s="7"/>
      <c r="U17" s="7"/>
      <c r="V17" s="7"/>
      <c r="W17" s="7"/>
      <c r="X17" s="7"/>
      <c r="Y17" s="7"/>
    </row>
    <row r="18" spans="1:25" ht="15.75" customHeight="1">
      <c r="A18" s="29" t="s">
        <v>36</v>
      </c>
      <c r="B18" s="40"/>
      <c r="C18" s="23"/>
      <c r="D18" s="23"/>
      <c r="E18" s="23"/>
      <c r="F18" s="23"/>
      <c r="G18" s="23"/>
      <c r="H18" s="23"/>
      <c r="I18" s="41"/>
      <c r="J18" s="23"/>
      <c r="K18" s="7"/>
      <c r="L18" s="7"/>
      <c r="M18" s="7"/>
      <c r="N18" s="7"/>
      <c r="O18" s="7"/>
      <c r="P18" s="7"/>
      <c r="Q18" s="7"/>
      <c r="R18" s="7"/>
      <c r="S18" s="7"/>
      <c r="T18" s="7"/>
      <c r="U18" s="7"/>
      <c r="V18" s="7"/>
      <c r="W18" s="7"/>
      <c r="X18" s="7"/>
      <c r="Y18" s="7"/>
    </row>
    <row r="19" spans="1:25" ht="16">
      <c r="A19" s="28" t="s">
        <v>37</v>
      </c>
      <c r="B19" s="42">
        <f>'OM COGS Yr 0-5'!B33</f>
        <v>70000</v>
      </c>
      <c r="C19" s="13" t="s">
        <v>38</v>
      </c>
      <c r="D19" s="23"/>
      <c r="E19" s="23"/>
      <c r="F19" s="23"/>
      <c r="G19" s="23"/>
      <c r="H19" s="23"/>
      <c r="I19" s="41"/>
      <c r="J19" s="23"/>
      <c r="K19" s="7"/>
      <c r="L19" s="7"/>
      <c r="M19" s="7"/>
      <c r="N19" s="7"/>
      <c r="O19" s="7"/>
      <c r="P19" s="7"/>
      <c r="Q19" s="7"/>
      <c r="R19" s="7"/>
      <c r="S19" s="7"/>
      <c r="T19" s="7"/>
      <c r="U19" s="7"/>
      <c r="V19" s="7"/>
      <c r="W19" s="7"/>
      <c r="X19" s="7"/>
      <c r="Y19" s="7"/>
    </row>
    <row r="20" spans="1:25" ht="16">
      <c r="A20" s="28" t="s">
        <v>39</v>
      </c>
      <c r="B20" s="43">
        <f>0.15*'MK IMC Schedule Y1-Y5'!N43</f>
        <v>25913.979440649215</v>
      </c>
      <c r="C20" s="13" t="s">
        <v>40</v>
      </c>
      <c r="D20" s="23"/>
      <c r="E20" s="23"/>
      <c r="F20" s="23"/>
      <c r="G20" s="23"/>
      <c r="H20" s="23"/>
      <c r="I20" s="44"/>
      <c r="J20" s="13"/>
      <c r="K20" s="7"/>
      <c r="L20" s="7"/>
      <c r="M20" s="7"/>
      <c r="N20" s="7"/>
      <c r="O20" s="7"/>
      <c r="P20" s="7"/>
      <c r="Q20" s="7"/>
      <c r="R20" s="7"/>
      <c r="S20" s="7"/>
      <c r="T20" s="7"/>
      <c r="U20" s="7"/>
      <c r="V20" s="7"/>
      <c r="W20" s="7"/>
      <c r="X20" s="7"/>
      <c r="Y20" s="7"/>
    </row>
    <row r="21" spans="1:25" ht="17">
      <c r="A21" s="37" t="s">
        <v>41</v>
      </c>
      <c r="B21" s="43">
        <f>('OM Labor Costs'!B10+'OM Labor Costs'!B11+'OM Labor Costs'!B15+'OM Labor Costs'!B25+'OM Labor Costs'!B28+'OM Labor Costs'!B30)</f>
        <v>80600</v>
      </c>
      <c r="C21" s="3"/>
      <c r="D21" s="3"/>
      <c r="E21" s="23"/>
      <c r="F21" s="23"/>
      <c r="G21" s="23"/>
      <c r="H21" s="23"/>
      <c r="I21" s="44"/>
      <c r="J21" s="13"/>
      <c r="K21" s="7"/>
      <c r="L21" s="7"/>
      <c r="M21" s="7"/>
      <c r="N21" s="7"/>
      <c r="O21" s="7"/>
      <c r="P21" s="7"/>
      <c r="Q21" s="7"/>
      <c r="R21" s="7"/>
      <c r="S21" s="7"/>
      <c r="T21" s="7"/>
      <c r="U21" s="7"/>
      <c r="V21" s="7"/>
      <c r="W21" s="7"/>
      <c r="X21" s="7"/>
      <c r="Y21" s="7"/>
    </row>
    <row r="22" spans="1:25" ht="17">
      <c r="A22" s="22" t="s">
        <v>42</v>
      </c>
      <c r="B22" s="43">
        <f>SUM(B11:B21)</f>
        <v>571965.26243826665</v>
      </c>
      <c r="C22" s="23"/>
      <c r="D22" s="23"/>
      <c r="E22" s="23"/>
      <c r="F22" s="23"/>
      <c r="G22" s="23"/>
      <c r="H22" s="23"/>
      <c r="I22" s="3"/>
      <c r="J22" s="23"/>
      <c r="K22" s="7"/>
      <c r="L22" s="7"/>
      <c r="M22" s="7"/>
      <c r="N22" s="7"/>
      <c r="O22" s="7"/>
      <c r="P22" s="7"/>
      <c r="Q22" s="7"/>
      <c r="R22" s="7"/>
      <c r="S22" s="7"/>
      <c r="T22" s="7"/>
      <c r="U22" s="7"/>
      <c r="V22" s="7"/>
      <c r="W22" s="7"/>
      <c r="X22" s="7"/>
      <c r="Y22" s="7"/>
    </row>
    <row r="23" spans="1:25" ht="16">
      <c r="A23" s="28"/>
      <c r="B23" s="40"/>
      <c r="C23" s="28"/>
      <c r="D23" s="28"/>
      <c r="E23" s="28"/>
      <c r="F23" s="28"/>
      <c r="G23" s="28"/>
      <c r="H23" s="23"/>
      <c r="J23" s="23"/>
      <c r="K23" s="7"/>
      <c r="L23" s="7"/>
      <c r="M23" s="7"/>
      <c r="N23" s="7"/>
      <c r="O23" s="7"/>
      <c r="P23" s="7"/>
      <c r="Q23" s="7"/>
      <c r="R23" s="7"/>
      <c r="S23" s="7"/>
      <c r="T23" s="7"/>
      <c r="U23" s="7"/>
      <c r="V23" s="7"/>
      <c r="W23" s="7"/>
      <c r="X23" s="7"/>
      <c r="Y23" s="7"/>
    </row>
    <row r="24" spans="1:25" ht="16">
      <c r="A24" s="30" t="s">
        <v>43</v>
      </c>
      <c r="B24" s="45"/>
      <c r="C24" s="46" t="s">
        <v>23</v>
      </c>
      <c r="D24" s="46" t="s">
        <v>24</v>
      </c>
      <c r="E24" s="46" t="s">
        <v>25</v>
      </c>
      <c r="F24" s="46" t="s">
        <v>26</v>
      </c>
      <c r="G24" s="47" t="s">
        <v>27</v>
      </c>
      <c r="H24" s="23"/>
      <c r="I24" s="3"/>
      <c r="J24" s="23"/>
      <c r="K24" s="7"/>
      <c r="L24" s="7"/>
      <c r="M24" s="7"/>
      <c r="N24" s="7"/>
      <c r="O24" s="7"/>
      <c r="P24" s="7"/>
      <c r="Q24" s="7"/>
      <c r="R24" s="7"/>
      <c r="S24" s="7"/>
      <c r="T24" s="7"/>
      <c r="U24" s="7"/>
      <c r="V24" s="7"/>
      <c r="W24" s="7"/>
      <c r="X24" s="7"/>
      <c r="Y24" s="7"/>
    </row>
    <row r="25" spans="1:25" ht="16">
      <c r="A25" s="28"/>
      <c r="B25" s="33"/>
      <c r="C25" s="23"/>
      <c r="D25" s="23"/>
      <c r="E25" s="23"/>
      <c r="F25" s="23"/>
      <c r="G25" s="23"/>
      <c r="H25" s="23"/>
      <c r="I25" s="3"/>
      <c r="J25" s="23"/>
      <c r="K25" s="7"/>
      <c r="L25" s="7"/>
      <c r="M25" s="7"/>
      <c r="N25" s="7"/>
      <c r="O25" s="7"/>
      <c r="P25" s="7"/>
      <c r="Q25" s="7"/>
      <c r="R25" s="7"/>
      <c r="S25" s="7"/>
      <c r="T25" s="7"/>
      <c r="U25" s="7"/>
      <c r="V25" s="7"/>
      <c r="W25" s="7"/>
      <c r="X25" s="7"/>
      <c r="Y25" s="7"/>
    </row>
    <row r="26" spans="1:25" ht="17">
      <c r="A26" s="29" t="s">
        <v>44</v>
      </c>
      <c r="B26" s="40"/>
      <c r="C26" s="48" t="s">
        <v>23</v>
      </c>
      <c r="D26" s="49" t="s">
        <v>24</v>
      </c>
      <c r="E26" s="50" t="s">
        <v>25</v>
      </c>
      <c r="F26" s="48" t="s">
        <v>26</v>
      </c>
      <c r="G26" s="48" t="s">
        <v>27</v>
      </c>
      <c r="H26" s="23"/>
      <c r="I26" s="3"/>
      <c r="J26" s="23"/>
      <c r="K26" s="7"/>
      <c r="L26" s="7"/>
      <c r="M26" s="7"/>
      <c r="N26" s="7"/>
      <c r="O26" s="7"/>
      <c r="P26" s="7"/>
      <c r="Q26" s="7"/>
      <c r="R26" s="7"/>
      <c r="S26" s="7"/>
      <c r="T26" s="7"/>
      <c r="U26" s="7"/>
      <c r="V26" s="7"/>
      <c r="W26" s="7"/>
      <c r="X26" s="7"/>
      <c r="Y26" s="7"/>
    </row>
    <row r="27" spans="1:25" ht="17">
      <c r="A27" s="37" t="s">
        <v>45</v>
      </c>
      <c r="B27" s="40"/>
      <c r="C27" s="51">
        <f>'MK Bases Model (Base Case)'!$B$16*'MK Price to Channel'!C4</f>
        <v>1790.4408112726016</v>
      </c>
      <c r="D27" s="51">
        <f>'MK Bases Model (Base Case)'!$C$16*'MK Price to Channel'!C11</f>
        <v>5304.3203501233038</v>
      </c>
      <c r="E27" s="51">
        <f>'MK Bases Model (Base Case)'!$D$16*'MK Price to Channel'!C18</f>
        <v>12035.519378846737</v>
      </c>
      <c r="F27" s="51">
        <f>'MK Bases Model (Base Case)'!$E$16*'MK Price to Channel'!C26</f>
        <v>10266.019304118128</v>
      </c>
      <c r="G27" s="51">
        <f>'MK Bases Model (Base Case)'!$F$16*'MK Price to Channel'!C35</f>
        <v>8566.08917425047</v>
      </c>
      <c r="H27" s="1547"/>
      <c r="I27" s="3"/>
      <c r="J27" s="23"/>
      <c r="K27" s="7"/>
      <c r="L27" s="7"/>
      <c r="M27" s="7"/>
      <c r="N27" s="7"/>
      <c r="O27" s="7"/>
      <c r="P27" s="7"/>
      <c r="Q27" s="7"/>
      <c r="R27" s="7"/>
      <c r="S27" s="7"/>
      <c r="T27" s="7"/>
      <c r="U27" s="7"/>
      <c r="V27" s="7"/>
      <c r="W27" s="7"/>
      <c r="X27" s="7"/>
      <c r="Y27" s="7"/>
    </row>
    <row r="28" spans="1:25" ht="17">
      <c r="A28" s="37" t="s">
        <v>46</v>
      </c>
      <c r="B28" s="40"/>
      <c r="C28" s="51">
        <f>'MK Bases Model (Base Case)'!$B$16*'MK Price to Channel'!C5</f>
        <v>10998.422126388838</v>
      </c>
      <c r="D28" s="51">
        <f>'MK Bases Model (Base Case)'!$C$16*'MK Price to Channel'!C12</f>
        <v>12986.439477888089</v>
      </c>
      <c r="E28" s="51">
        <f>'MK Bases Model (Base Case)'!$D$16*'MK Price to Channel'!C19</f>
        <v>24026.952606122606</v>
      </c>
      <c r="F28" s="51">
        <f>'MK Bases Model (Base Case)'!$E$16*'MK Price to Channel'!C27</f>
        <v>24638.446329883511</v>
      </c>
      <c r="G28" s="51">
        <f>'MK Bases Model (Base Case)'!$F$16*'MK Price to Channel'!C36</f>
        <v>25698.267522751408</v>
      </c>
      <c r="H28" s="1547"/>
      <c r="I28" s="3"/>
      <c r="J28" s="23"/>
      <c r="K28" s="7"/>
      <c r="L28" s="7"/>
      <c r="M28" s="7"/>
      <c r="N28" s="7"/>
      <c r="O28" s="7"/>
      <c r="P28" s="7"/>
      <c r="Q28" s="7"/>
      <c r="R28" s="7"/>
      <c r="S28" s="7"/>
      <c r="T28" s="7"/>
      <c r="U28" s="7"/>
      <c r="V28" s="7"/>
      <c r="W28" s="7"/>
      <c r="X28" s="7"/>
      <c r="Y28" s="7"/>
    </row>
    <row r="29" spans="1:25" ht="17">
      <c r="A29" s="37" t="s">
        <v>47</v>
      </c>
      <c r="B29" s="28"/>
      <c r="C29" s="52">
        <v>0</v>
      </c>
      <c r="D29" s="52">
        <v>0</v>
      </c>
      <c r="E29" s="51">
        <f>'MK Bases Model (Base Case)'!$D$16*'MK Price to Channel'!C20</f>
        <v>8023.6795858978239</v>
      </c>
      <c r="F29" s="51">
        <f>'MK Bases Model (Base Case)'!$E$16*'MK Price to Channel'!C28</f>
        <v>10266.019304118128</v>
      </c>
      <c r="G29" s="51">
        <f>'MK Bases Model (Base Case)'!$F$16*'MK Price to Channel'!C37</f>
        <v>15704.496819459195</v>
      </c>
      <c r="H29" s="1547"/>
      <c r="I29" s="3"/>
      <c r="J29" s="23"/>
      <c r="K29" s="7"/>
      <c r="L29" s="7"/>
      <c r="M29" s="7"/>
      <c r="N29" s="7"/>
      <c r="O29" s="7"/>
      <c r="P29" s="7"/>
      <c r="Q29" s="7"/>
      <c r="R29" s="7"/>
      <c r="S29" s="7"/>
      <c r="T29" s="7"/>
      <c r="U29" s="7"/>
      <c r="V29" s="7"/>
      <c r="W29" s="7"/>
      <c r="X29" s="7"/>
      <c r="Y29" s="7"/>
    </row>
    <row r="30" spans="1:25" ht="17">
      <c r="A30" s="37" t="s">
        <v>48</v>
      </c>
      <c r="B30" s="28"/>
      <c r="C30" s="52">
        <v>0</v>
      </c>
      <c r="D30" s="52">
        <v>0</v>
      </c>
      <c r="E30" s="52">
        <v>0</v>
      </c>
      <c r="F30" s="51">
        <f>'MK Bases Model (Base Case)'!$E$16*'MK Price to Channel'!C29</f>
        <v>10266.019304118128</v>
      </c>
      <c r="G30" s="51">
        <f>'MK Bases Model (Base Case)'!$F$16*'MK Price to Channel'!C38</f>
        <v>21415.222935626174</v>
      </c>
      <c r="H30" s="1547"/>
      <c r="I30" s="3"/>
      <c r="J30" s="23"/>
      <c r="K30" s="7"/>
      <c r="L30" s="7"/>
      <c r="M30" s="7"/>
      <c r="N30" s="7"/>
      <c r="O30" s="7"/>
      <c r="P30" s="7"/>
      <c r="Q30" s="7"/>
      <c r="R30" s="7"/>
      <c r="S30" s="7"/>
      <c r="T30" s="7"/>
      <c r="U30" s="7"/>
      <c r="V30" s="7"/>
      <c r="W30" s="7"/>
      <c r="X30" s="7"/>
      <c r="Y30" s="7"/>
    </row>
    <row r="31" spans="1:25" ht="17">
      <c r="A31" s="27" t="s">
        <v>49</v>
      </c>
      <c r="B31" s="28" t="s">
        <v>20</v>
      </c>
      <c r="C31" s="53">
        <f t="shared" ref="C31:G31" si="0">SUM(C27:C30)</f>
        <v>12788.862937661439</v>
      </c>
      <c r="D31" s="53">
        <f t="shared" si="0"/>
        <v>18290.759828011393</v>
      </c>
      <c r="E31" s="53">
        <f t="shared" si="0"/>
        <v>44086.151570867165</v>
      </c>
      <c r="F31" s="53">
        <f t="shared" si="0"/>
        <v>55436.50424223789</v>
      </c>
      <c r="G31" s="53">
        <f t="shared" si="0"/>
        <v>71384.076452087247</v>
      </c>
      <c r="H31" s="1547"/>
      <c r="I31" s="3"/>
      <c r="J31" s="23"/>
      <c r="K31" s="7"/>
      <c r="L31" s="7"/>
      <c r="M31" s="7"/>
      <c r="N31" s="7"/>
      <c r="O31" s="7"/>
      <c r="P31" s="7"/>
      <c r="Q31" s="7"/>
      <c r="R31" s="7"/>
      <c r="S31" s="7"/>
      <c r="T31" s="7"/>
      <c r="U31" s="7"/>
      <c r="V31" s="7"/>
      <c r="W31" s="7"/>
      <c r="X31" s="7"/>
      <c r="Y31" s="7"/>
    </row>
    <row r="32" spans="1:25" ht="16">
      <c r="A32" s="27"/>
      <c r="B32" s="23"/>
      <c r="C32" s="54"/>
      <c r="D32" s="54"/>
      <c r="E32" s="54"/>
      <c r="F32" s="54"/>
      <c r="G32" s="54"/>
      <c r="H32" s="1547"/>
      <c r="I32" s="3"/>
      <c r="J32" s="23"/>
      <c r="K32" s="7"/>
      <c r="L32" s="7"/>
      <c r="M32" s="7"/>
      <c r="N32" s="7"/>
      <c r="O32" s="7"/>
      <c r="P32" s="7"/>
      <c r="Q32" s="7"/>
      <c r="R32" s="7"/>
      <c r="S32" s="7"/>
      <c r="T32" s="7"/>
      <c r="U32" s="7"/>
      <c r="V32" s="7"/>
      <c r="W32" s="7"/>
      <c r="X32" s="7"/>
      <c r="Y32" s="7"/>
    </row>
    <row r="33" spans="1:25" ht="17">
      <c r="A33" s="29" t="s">
        <v>50</v>
      </c>
      <c r="B33" s="28"/>
      <c r="C33" s="55" t="s">
        <v>23</v>
      </c>
      <c r="D33" s="56" t="s">
        <v>24</v>
      </c>
      <c r="E33" s="57" t="s">
        <v>25</v>
      </c>
      <c r="F33" s="55" t="s">
        <v>26</v>
      </c>
      <c r="G33" s="55" t="s">
        <v>27</v>
      </c>
      <c r="H33" s="1547"/>
      <c r="I33" s="3"/>
      <c r="J33" s="23"/>
      <c r="K33" s="7"/>
      <c r="L33" s="7"/>
      <c r="M33" s="7"/>
      <c r="N33" s="7"/>
      <c r="O33" s="7"/>
      <c r="P33" s="7"/>
      <c r="Q33" s="7"/>
      <c r="R33" s="7"/>
      <c r="S33" s="7"/>
      <c r="T33" s="7"/>
      <c r="U33" s="7"/>
      <c r="V33" s="7"/>
      <c r="W33" s="7"/>
      <c r="X33" s="7"/>
      <c r="Y33" s="7"/>
    </row>
    <row r="34" spans="1:25" ht="17">
      <c r="A34" s="37" t="s">
        <v>51</v>
      </c>
      <c r="B34" s="28"/>
      <c r="C34" s="51">
        <f>'MK Price to Channel'!D4</f>
        <v>180</v>
      </c>
      <c r="D34" s="51">
        <f>'MK Price to Channel'!D11</f>
        <v>180</v>
      </c>
      <c r="E34" s="51">
        <f>'MK Price to Channel'!D18</f>
        <v>180</v>
      </c>
      <c r="F34" s="51">
        <f>'MK Price to Channel'!D26</f>
        <v>180</v>
      </c>
      <c r="G34" s="51">
        <f>'MK Price to Channel'!D35</f>
        <v>180</v>
      </c>
      <c r="H34" s="1547"/>
      <c r="I34" s="3"/>
      <c r="J34" s="23"/>
      <c r="K34" s="7"/>
      <c r="L34" s="7"/>
      <c r="M34" s="7"/>
      <c r="N34" s="7"/>
      <c r="O34" s="7"/>
      <c r="P34" s="7"/>
      <c r="Q34" s="7"/>
      <c r="R34" s="7"/>
      <c r="S34" s="7"/>
      <c r="T34" s="7"/>
      <c r="U34" s="7"/>
      <c r="V34" s="7"/>
      <c r="W34" s="7"/>
      <c r="X34" s="7"/>
      <c r="Y34" s="7"/>
    </row>
    <row r="35" spans="1:25" ht="17">
      <c r="A35" s="37" t="s">
        <v>52</v>
      </c>
      <c r="B35" s="28"/>
      <c r="C35" s="51">
        <f>'MK Price to Channel'!D5</f>
        <v>167.04000000000002</v>
      </c>
      <c r="D35" s="51">
        <f>'MK Price to Channel'!D12</f>
        <v>167.04000000000002</v>
      </c>
      <c r="E35" s="51">
        <f>'MK Price to Channel'!D19</f>
        <v>167.04000000000002</v>
      </c>
      <c r="F35" s="51">
        <f>'MK Price to Channel'!D27</f>
        <v>167.04000000000002</v>
      </c>
      <c r="G35" s="51">
        <f>'MK Price to Channel'!D36</f>
        <v>167.04000000000002</v>
      </c>
      <c r="H35" s="1547"/>
      <c r="I35" s="3"/>
      <c r="J35" s="23"/>
      <c r="K35" s="7"/>
      <c r="L35" s="7"/>
      <c r="M35" s="7"/>
      <c r="N35" s="7"/>
      <c r="O35" s="7"/>
      <c r="P35" s="7"/>
      <c r="Q35" s="7"/>
      <c r="R35" s="7"/>
      <c r="S35" s="7"/>
      <c r="T35" s="7"/>
      <c r="U35" s="7"/>
      <c r="V35" s="7"/>
      <c r="W35" s="7"/>
      <c r="X35" s="7"/>
      <c r="Y35" s="7"/>
    </row>
    <row r="36" spans="1:25" ht="17">
      <c r="A36" s="37" t="s">
        <v>53</v>
      </c>
      <c r="B36" s="28"/>
      <c r="C36" s="52">
        <v>0</v>
      </c>
      <c r="D36" s="52">
        <v>0</v>
      </c>
      <c r="E36" s="51">
        <f>'MK Price to Channel'!D20</f>
        <v>153.12000000000003</v>
      </c>
      <c r="F36" s="51">
        <f>'MK Price to Channel'!D28</f>
        <v>153.12000000000003</v>
      </c>
      <c r="G36" s="51">
        <f>'MK Price to Channel'!D37</f>
        <v>153.12000000000003</v>
      </c>
      <c r="H36" s="1547"/>
      <c r="I36" s="3"/>
      <c r="J36" s="23"/>
      <c r="K36" s="7"/>
      <c r="L36" s="7"/>
      <c r="M36" s="7"/>
      <c r="N36" s="7"/>
      <c r="O36" s="7"/>
      <c r="P36" s="7"/>
      <c r="Q36" s="7"/>
      <c r="R36" s="7"/>
      <c r="S36" s="7"/>
      <c r="T36" s="7"/>
      <c r="U36" s="7"/>
      <c r="V36" s="7"/>
      <c r="W36" s="7"/>
      <c r="X36" s="7"/>
      <c r="Y36" s="7"/>
    </row>
    <row r="37" spans="1:25" ht="17">
      <c r="A37" s="37" t="s">
        <v>54</v>
      </c>
      <c r="B37" s="28"/>
      <c r="C37" s="52">
        <v>0</v>
      </c>
      <c r="D37" s="52">
        <v>0</v>
      </c>
      <c r="E37" s="52">
        <v>0</v>
      </c>
      <c r="F37" s="51">
        <f>'MK Price to Channel'!D29</f>
        <v>129.06</v>
      </c>
      <c r="G37" s="51">
        <f>'MK Price to Channel'!D38</f>
        <v>129.06</v>
      </c>
      <c r="H37" s="1547"/>
      <c r="I37" s="3"/>
      <c r="J37" s="23"/>
      <c r="K37" s="7"/>
      <c r="L37" s="7"/>
      <c r="M37" s="7"/>
      <c r="N37" s="7"/>
      <c r="O37" s="7"/>
      <c r="P37" s="7"/>
      <c r="Q37" s="7"/>
      <c r="R37" s="7"/>
      <c r="S37" s="7"/>
      <c r="T37" s="7"/>
      <c r="U37" s="7"/>
      <c r="V37" s="7"/>
      <c r="W37" s="7"/>
      <c r="X37" s="7"/>
      <c r="Y37" s="7"/>
    </row>
    <row r="38" spans="1:25" ht="17">
      <c r="A38" s="27" t="s">
        <v>55</v>
      </c>
      <c r="B38" s="28"/>
      <c r="C38" s="53">
        <f>'MK Price to Channel'!D6</f>
        <v>168.8544</v>
      </c>
      <c r="D38" s="53">
        <f>'MK Price to Channel'!D13</f>
        <v>170.79840000000002</v>
      </c>
      <c r="E38" s="53">
        <f>'MK Price to Channel'!D21</f>
        <v>168.04464000000002</v>
      </c>
      <c r="F38" s="53">
        <f>'MK Price to Channel'!D30</f>
        <v>159.66906</v>
      </c>
      <c r="G38" s="53">
        <f>'MK Price to Channel'!D39</f>
        <v>154.1388</v>
      </c>
      <c r="H38" s="1547"/>
      <c r="I38" s="3"/>
      <c r="J38" s="23"/>
      <c r="K38" s="7"/>
      <c r="L38" s="7"/>
      <c r="M38" s="7"/>
      <c r="N38" s="7"/>
      <c r="O38" s="7"/>
      <c r="P38" s="7"/>
      <c r="Q38" s="7"/>
      <c r="R38" s="7"/>
      <c r="S38" s="7"/>
      <c r="T38" s="7"/>
      <c r="U38" s="7"/>
      <c r="V38" s="7"/>
      <c r="W38" s="7"/>
      <c r="X38" s="7"/>
      <c r="Y38" s="7"/>
    </row>
    <row r="39" spans="1:25" ht="16">
      <c r="A39" s="27"/>
      <c r="B39" s="23"/>
      <c r="C39" s="54"/>
      <c r="D39" s="54"/>
      <c r="E39" s="54"/>
      <c r="F39" s="54"/>
      <c r="G39" s="54"/>
      <c r="H39" s="1547"/>
      <c r="I39" s="3"/>
      <c r="J39" s="23"/>
      <c r="K39" s="7"/>
      <c r="L39" s="7"/>
      <c r="M39" s="7"/>
      <c r="N39" s="7"/>
      <c r="O39" s="7"/>
      <c r="P39" s="7"/>
      <c r="Q39" s="7"/>
      <c r="R39" s="7"/>
      <c r="S39" s="7"/>
      <c r="T39" s="7"/>
      <c r="U39" s="7"/>
      <c r="V39" s="7"/>
      <c r="W39" s="7"/>
      <c r="X39" s="7"/>
      <c r="Y39" s="7"/>
    </row>
    <row r="40" spans="1:25" ht="17">
      <c r="A40" s="29" t="s">
        <v>56</v>
      </c>
      <c r="B40" s="28"/>
      <c r="C40" s="55" t="s">
        <v>23</v>
      </c>
      <c r="D40" s="56" t="s">
        <v>24</v>
      </c>
      <c r="E40" s="55" t="s">
        <v>25</v>
      </c>
      <c r="F40" s="55" t="s">
        <v>26</v>
      </c>
      <c r="G40" s="55" t="s">
        <v>27</v>
      </c>
      <c r="H40" s="58"/>
      <c r="J40" s="58"/>
      <c r="K40" s="58"/>
      <c r="L40" s="58"/>
      <c r="M40" s="58"/>
      <c r="N40" s="7"/>
      <c r="O40" s="7"/>
      <c r="P40" s="7"/>
      <c r="Q40" s="7"/>
      <c r="R40" s="7"/>
      <c r="S40" s="7"/>
      <c r="T40" s="7"/>
      <c r="U40" s="7"/>
      <c r="V40" s="7"/>
      <c r="W40" s="7"/>
      <c r="X40" s="7"/>
      <c r="Y40" s="7"/>
    </row>
    <row r="41" spans="1:25" ht="17">
      <c r="A41" s="37" t="s">
        <v>57</v>
      </c>
      <c r="B41" s="28"/>
      <c r="C41" s="53">
        <f>'OM COGS Yr 0-5'!C43</f>
        <v>77.19466168582376</v>
      </c>
      <c r="D41" s="53">
        <f>'OM COGS Yr 0-5'!D43</f>
        <v>66.064182472244084</v>
      </c>
      <c r="E41" s="53">
        <f>'OM COGS Yr 0-5'!E43</f>
        <v>53.023088345410642</v>
      </c>
      <c r="F41" s="53">
        <f>'OM COGS Yr 0-5'!F43</f>
        <v>50.074814874144572</v>
      </c>
      <c r="G41" s="53">
        <f>'OM COGS Yr 0-5'!G43</f>
        <v>47.406201205313479</v>
      </c>
      <c r="H41" s="3"/>
      <c r="J41" s="23"/>
      <c r="K41" s="7"/>
      <c r="L41" s="7"/>
      <c r="M41" s="7"/>
      <c r="N41" s="7"/>
      <c r="O41" s="7"/>
      <c r="P41" s="7"/>
      <c r="Q41" s="7"/>
      <c r="R41" s="7"/>
      <c r="S41" s="7"/>
      <c r="T41" s="7"/>
      <c r="U41" s="7"/>
      <c r="V41" s="7"/>
      <c r="W41" s="7"/>
      <c r="X41" s="7"/>
      <c r="Y41" s="7"/>
    </row>
    <row r="42" spans="1:25" ht="17">
      <c r="A42" s="59" t="s">
        <v>58</v>
      </c>
      <c r="B42" s="60"/>
      <c r="C42" s="51">
        <f>('OM COGS Yr 0-5'!C46)</f>
        <v>16817.525281197293</v>
      </c>
      <c r="D42" s="51">
        <f>('OM COGS Yr 0-5'!D46)</f>
        <v>24314.150916173247</v>
      </c>
      <c r="E42" s="51">
        <f>('OM COGS Yr 0-5'!E46)</f>
        <v>59672.891283358462</v>
      </c>
      <c r="F42" s="51">
        <f>('OM COGS Yr 0-5'!F46)</f>
        <v>75434.70984666</v>
      </c>
      <c r="G42" s="51">
        <f>('OM COGS Yr 0-5'!G46)</f>
        <v>97713.379210675106</v>
      </c>
      <c r="H42" s="84" t="s">
        <v>1090</v>
      </c>
      <c r="J42" s="61"/>
      <c r="K42" s="61"/>
      <c r="L42" s="61"/>
      <c r="M42" s="61"/>
      <c r="N42" s="7"/>
      <c r="O42" s="7"/>
      <c r="P42" s="7"/>
      <c r="Q42" s="7"/>
      <c r="R42" s="7"/>
      <c r="S42" s="7"/>
      <c r="T42" s="7"/>
      <c r="U42" s="7"/>
      <c r="V42" s="7"/>
      <c r="W42" s="7"/>
      <c r="X42" s="7"/>
      <c r="Y42" s="7"/>
    </row>
    <row r="43" spans="1:25" ht="17">
      <c r="A43" s="27" t="s">
        <v>59</v>
      </c>
      <c r="B43" s="39"/>
      <c r="C43" s="62">
        <f>'OM COGS Yr 0-5'!C47</f>
        <v>870842.22008119733</v>
      </c>
      <c r="D43" s="62">
        <f>'OM COGS Yr 0-5'!D47</f>
        <v>1317793.3055241734</v>
      </c>
      <c r="E43" s="62">
        <f>'OM COGS Yr 0-5'!E47</f>
        <v>2484755.0437313588</v>
      </c>
      <c r="F43" s="62">
        <f>'OM COGS Yr 0-5'!F47</f>
        <v>3023260.1889986601</v>
      </c>
      <c r="G43" s="62">
        <f>'OM COGS Yr 0-5'!G47</f>
        <v>3669319.0539076352</v>
      </c>
      <c r="H43" s="1578"/>
      <c r="J43" s="23"/>
      <c r="K43" s="7"/>
      <c r="L43" s="7"/>
      <c r="M43" s="7"/>
      <c r="N43" s="7"/>
      <c r="O43" s="7"/>
      <c r="P43" s="7"/>
      <c r="Q43" s="7"/>
      <c r="R43" s="7"/>
      <c r="S43" s="7"/>
      <c r="T43" s="7"/>
      <c r="U43" s="7"/>
      <c r="V43" s="7"/>
      <c r="W43" s="7"/>
      <c r="X43" s="7"/>
      <c r="Y43" s="7"/>
    </row>
    <row r="44" spans="1:25" ht="17">
      <c r="A44" s="37" t="s">
        <v>60</v>
      </c>
      <c r="B44" s="28"/>
      <c r="C44" s="53">
        <f>('OM COGS Yr 0-5'!C55)*$H$44</f>
        <v>256050</v>
      </c>
      <c r="D44" s="53">
        <f>('OM COGS Yr 0-5'!D55)*$H$44</f>
        <v>262602</v>
      </c>
      <c r="E44" s="53">
        <f>('OM COGS Yr 0-5'!E55)*$H$44</f>
        <v>431850.55999999994</v>
      </c>
      <c r="F44" s="53">
        <f>('OM COGS Yr 0-5'!F55)*$H$44</f>
        <v>443676.57679999998</v>
      </c>
      <c r="G44" s="53">
        <f>('OM COGS Yr 0-5'!G55)*$H$44</f>
        <v>455857.37410400005</v>
      </c>
      <c r="H44" s="1524">
        <v>1</v>
      </c>
      <c r="J44" s="23"/>
      <c r="K44" s="7"/>
      <c r="L44" s="7"/>
      <c r="M44" s="7"/>
      <c r="N44" s="7"/>
      <c r="O44" s="7"/>
      <c r="P44" s="7"/>
      <c r="Q44" s="7"/>
      <c r="R44" s="7"/>
      <c r="S44" s="7"/>
      <c r="T44" s="7"/>
      <c r="U44" s="7"/>
      <c r="V44" s="7"/>
      <c r="W44" s="7"/>
      <c r="X44" s="7"/>
      <c r="Y44" s="7"/>
    </row>
    <row r="45" spans="1:25" ht="17">
      <c r="A45" s="27" t="s">
        <v>61</v>
      </c>
      <c r="B45" s="28"/>
      <c r="C45" s="63">
        <f t="shared" ref="C45:G45" si="1">C43+C44</f>
        <v>1126892.2200811973</v>
      </c>
      <c r="D45" s="63">
        <f t="shared" si="1"/>
        <v>1580395.3055241734</v>
      </c>
      <c r="E45" s="63">
        <f t="shared" si="1"/>
        <v>2916605.6037313589</v>
      </c>
      <c r="F45" s="63">
        <f t="shared" si="1"/>
        <v>3466936.76579866</v>
      </c>
      <c r="G45" s="63">
        <f t="shared" si="1"/>
        <v>4125176.4280116353</v>
      </c>
      <c r="H45" s="1697"/>
      <c r="J45" s="23"/>
      <c r="K45" s="7"/>
      <c r="L45" s="7"/>
      <c r="M45" s="7"/>
      <c r="N45" s="7"/>
      <c r="O45" s="7"/>
      <c r="P45" s="7"/>
      <c r="Q45" s="7"/>
      <c r="R45" s="7"/>
      <c r="S45" s="7"/>
      <c r="T45" s="7"/>
      <c r="U45" s="7"/>
      <c r="V45" s="7"/>
      <c r="W45" s="7"/>
      <c r="X45" s="7"/>
      <c r="Y45" s="7"/>
    </row>
    <row r="46" spans="1:25" ht="16">
      <c r="A46" s="28"/>
      <c r="B46" s="23"/>
      <c r="C46" s="54"/>
      <c r="D46" s="54"/>
      <c r="E46" s="54"/>
      <c r="F46" s="54"/>
      <c r="G46" s="54"/>
      <c r="H46" s="1578"/>
      <c r="J46" s="23"/>
      <c r="K46" s="7"/>
      <c r="L46" s="7"/>
      <c r="M46" s="7"/>
      <c r="N46" s="7"/>
      <c r="O46" s="7"/>
      <c r="P46" s="7"/>
      <c r="Q46" s="7"/>
      <c r="R46" s="7"/>
      <c r="S46" s="7"/>
      <c r="T46" s="7"/>
      <c r="U46" s="7"/>
      <c r="V46" s="7"/>
      <c r="W46" s="7"/>
      <c r="X46" s="7"/>
      <c r="Y46" s="7"/>
    </row>
    <row r="47" spans="1:25" ht="17">
      <c r="A47" s="29" t="s">
        <v>62</v>
      </c>
      <c r="B47" s="64"/>
      <c r="C47" s="55" t="s">
        <v>23</v>
      </c>
      <c r="D47" s="56" t="s">
        <v>24</v>
      </c>
      <c r="E47" s="57" t="s">
        <v>25</v>
      </c>
      <c r="F47" s="55" t="s">
        <v>26</v>
      </c>
      <c r="G47" s="55" t="s">
        <v>27</v>
      </c>
      <c r="H47" s="84"/>
      <c r="J47" s="58"/>
      <c r="K47" s="58"/>
      <c r="L47" s="58"/>
      <c r="M47" s="58"/>
      <c r="N47" s="7"/>
      <c r="O47" s="7"/>
      <c r="P47" s="7"/>
      <c r="Q47" s="7"/>
      <c r="R47" s="7"/>
      <c r="S47" s="7"/>
      <c r="T47" s="7"/>
      <c r="U47" s="7"/>
      <c r="V47" s="7"/>
      <c r="W47" s="7"/>
      <c r="X47" s="7"/>
      <c r="Y47" s="7"/>
    </row>
    <row r="48" spans="1:25" ht="16">
      <c r="A48" s="23" t="s">
        <v>63</v>
      </c>
      <c r="B48" s="28"/>
      <c r="C48" s="65">
        <f>'OM Costs Pie Charts Y0-Y5'!C11-'OM Costs Pie Charts Y0-Y5'!C5-'OM Costs Pie Charts Y0-Y5'!C8+'OM Manufacturing Assumptions'!$B$6</f>
        <v>141791.99999999991</v>
      </c>
      <c r="D48" s="65">
        <f>'OM Costs Pie Charts Y0-Y5'!D11-'OM Costs Pie Charts Y0-Y5'!D5-'OM Costs Pie Charts Y0-Y5'!D8+'OM Manufacturing Assumptions'!$B$6</f>
        <v>141791.99999999991</v>
      </c>
      <c r="E48" s="65">
        <f>'OM Costs Pie Charts Y0-Y5'!E11-'OM Costs Pie Charts Y0-Y5'!E5-'OM Costs Pie Charts Y0-Y5'!E8+'OM Manufacturing Assumptions'!$B$6</f>
        <v>190781.99999999991</v>
      </c>
      <c r="F48" s="65">
        <f>'OM Costs Pie Charts Y0-Y5'!F11-'OM Costs Pie Charts Y0-Y5'!F5-'OM Costs Pie Charts Y0-Y5'!F8+'OM Manufacturing Assumptions'!$B$6</f>
        <v>172031.99999999991</v>
      </c>
      <c r="G48" s="65">
        <f>'OM Costs Pie Charts Y0-Y5'!G11-'OM Costs Pie Charts Y0-Y5'!G5-'OM Costs Pie Charts Y0-Y5'!G8+'OM Manufacturing Assumptions'!$B$6</f>
        <v>172031.99999999991</v>
      </c>
      <c r="H48" s="1578"/>
      <c r="J48" s="23"/>
      <c r="K48" s="7"/>
      <c r="L48" s="7"/>
      <c r="M48" s="7"/>
      <c r="N48" s="7"/>
      <c r="O48" s="7"/>
      <c r="P48" s="7"/>
      <c r="Q48" s="7"/>
      <c r="R48" s="7"/>
      <c r="S48" s="7"/>
      <c r="T48" s="7"/>
      <c r="U48" s="7"/>
      <c r="V48" s="7"/>
      <c r="W48" s="7"/>
      <c r="X48" s="7"/>
      <c r="Y48" s="7"/>
    </row>
    <row r="49" spans="1:25" ht="16">
      <c r="A49" s="23" t="s">
        <v>64</v>
      </c>
      <c r="B49" s="28"/>
      <c r="C49" s="65">
        <f>('OM Labor Costs'!C34-SUM('OM COGS Yr 0-5'!C49:C52)-SUM('OM COGS Yr 0-5'!C37:C38))*H49</f>
        <v>413660</v>
      </c>
      <c r="D49" s="65">
        <f>('OM Labor Costs'!D34-SUM('OM COGS Yr 0-5'!D49:D52)-SUM('OM COGS Yr 0-5'!D37:D38))*H49</f>
        <v>426069.80000000005</v>
      </c>
      <c r="E49" s="65">
        <f>('OM Labor Costs'!E34-SUM('OM COGS Yr 0-5'!E49:E52)-SUM('OM COGS Yr 0-5'!E37:E38))*H49</f>
        <v>680651.89400000009</v>
      </c>
      <c r="F49" s="65">
        <f>('OM Labor Costs'!F34-SUM('OM COGS Yr 0-5'!F49:F52)-SUM('OM COGS Yr 0-5'!F37:F38))*H49</f>
        <v>701071.45082000003</v>
      </c>
      <c r="G49" s="65">
        <f>('OM Labor Costs'!G34-SUM('OM COGS Yr 0-5'!G49:G52)-SUM('OM COGS Yr 0-5'!G37:G38))*H49</f>
        <v>722103.59434459987</v>
      </c>
      <c r="H49" s="1524">
        <v>1</v>
      </c>
      <c r="J49" s="61"/>
      <c r="K49" s="61"/>
      <c r="L49" s="61"/>
      <c r="M49" s="61"/>
      <c r="N49" s="7"/>
      <c r="O49" s="7"/>
      <c r="P49" s="7"/>
      <c r="Q49" s="7"/>
      <c r="R49" s="7"/>
      <c r="S49" s="7"/>
      <c r="T49" s="7"/>
      <c r="U49" s="7"/>
      <c r="V49" s="7"/>
      <c r="W49" s="7"/>
      <c r="X49" s="7"/>
      <c r="Y49" s="7"/>
    </row>
    <row r="50" spans="1:25" ht="17">
      <c r="A50" s="37" t="s">
        <v>65</v>
      </c>
      <c r="B50" s="28"/>
      <c r="C50" s="51">
        <f>('MK IMC Y1-Y5 Summary'!B19)*$H$50</f>
        <v>172759.86293766144</v>
      </c>
      <c r="D50" s="52">
        <f>('MK IMC Y1-Y5 Summary'!C19)*$H$50</f>
        <v>169761.75982801139</v>
      </c>
      <c r="E50" s="52">
        <f>('MK IMC Y1-Y5 Summary'!D19)*$H$50</f>
        <v>330746.15157086716</v>
      </c>
      <c r="F50" s="52">
        <f>('MK IMC Y1-Y5 Summary'!E19)*$H$50</f>
        <v>333686.99623847636</v>
      </c>
      <c r="G50" s="52">
        <f>('MK IMC Y1-Y5 Summary'!F19)*$H$50</f>
        <v>348794.07645208726</v>
      </c>
      <c r="H50" s="1524">
        <v>1</v>
      </c>
      <c r="J50" s="61"/>
      <c r="K50" s="61"/>
      <c r="L50" s="61"/>
      <c r="M50" s="61"/>
      <c r="N50" s="7"/>
      <c r="O50" s="7"/>
      <c r="P50" s="7"/>
      <c r="Q50" s="7"/>
      <c r="R50" s="7"/>
      <c r="S50" s="7"/>
      <c r="T50" s="7"/>
      <c r="U50" s="7"/>
      <c r="V50" s="7"/>
      <c r="W50" s="7"/>
      <c r="X50" s="7"/>
      <c r="Y50" s="7"/>
    </row>
    <row r="51" spans="1:25" ht="17">
      <c r="A51" s="37" t="s">
        <v>66</v>
      </c>
      <c r="B51" s="28"/>
      <c r="C51" s="51">
        <f t="shared" ref="C51:D51" si="2">0.1*(C27*C34)</f>
        <v>32227.934602906829</v>
      </c>
      <c r="D51" s="51">
        <f t="shared" si="2"/>
        <v>95477.766302219476</v>
      </c>
      <c r="E51" s="51">
        <f>0.1*((E34*E27)+(E29*E36))</f>
        <v>339497.93063850881</v>
      </c>
      <c r="F51" s="51">
        <f t="shared" ref="F51:G51" si="3">0.1*((F27*F34)+(F29*F36)+(F30*F37))</f>
        <v>474474.88019773172</v>
      </c>
      <c r="G51" s="51">
        <f t="shared" si="3"/>
        <v>671041.72764325922</v>
      </c>
      <c r="H51" s="1547"/>
      <c r="I51" s="67"/>
      <c r="J51" s="23"/>
      <c r="K51" s="7"/>
      <c r="L51" s="7"/>
      <c r="M51" s="7"/>
      <c r="N51" s="7"/>
      <c r="O51" s="7"/>
      <c r="P51" s="7"/>
      <c r="Q51" s="7"/>
      <c r="R51" s="7"/>
      <c r="S51" s="7"/>
      <c r="T51" s="7"/>
      <c r="U51" s="7"/>
      <c r="V51" s="7"/>
      <c r="W51" s="7"/>
      <c r="X51" s="7"/>
      <c r="Y51" s="7"/>
    </row>
    <row r="52" spans="1:25" ht="17">
      <c r="A52" s="29" t="s">
        <v>67</v>
      </c>
      <c r="B52" s="28"/>
      <c r="C52" s="65">
        <f>'OM Costs Pie Charts Y0-Y5'!C8</f>
        <v>17204.400000000001</v>
      </c>
      <c r="D52" s="65">
        <f>'OM Costs Pie Charts Y0-Y5'!D8</f>
        <v>17204.400000000001</v>
      </c>
      <c r="E52" s="65">
        <f>'OM Costs Pie Charts Y0-Y5'!E8</f>
        <v>17582.400000000001</v>
      </c>
      <c r="F52" s="65">
        <f>'OM Costs Pie Charts Y0-Y5'!F8</f>
        <v>17582.400000000001</v>
      </c>
      <c r="G52" s="65">
        <f>'OM Costs Pie Charts Y0-Y5'!G8</f>
        <v>16070.400000000001</v>
      </c>
      <c r="H52" s="23"/>
      <c r="I52" s="67"/>
      <c r="J52" s="23"/>
      <c r="K52" s="7"/>
      <c r="L52" s="7"/>
      <c r="M52" s="7"/>
      <c r="N52" s="7"/>
      <c r="O52" s="7"/>
      <c r="P52" s="7"/>
      <c r="Q52" s="7"/>
      <c r="R52" s="7"/>
      <c r="S52" s="7"/>
      <c r="T52" s="7"/>
      <c r="U52" s="7"/>
      <c r="V52" s="7"/>
      <c r="W52" s="7"/>
      <c r="X52" s="7"/>
      <c r="Y52" s="7"/>
    </row>
    <row r="53" spans="1:25" ht="17">
      <c r="A53" s="27" t="s">
        <v>68</v>
      </c>
      <c r="B53" s="68"/>
      <c r="C53" s="53">
        <f>SUM(C48:C52)</f>
        <v>777644.19754056819</v>
      </c>
      <c r="D53" s="53">
        <f>SUM(D48:D52)</f>
        <v>850305.72613023082</v>
      </c>
      <c r="E53" s="53">
        <f>SUM(E48:E52)</f>
        <v>1559260.3762093759</v>
      </c>
      <c r="F53" s="53">
        <f>SUM(F48:F52)</f>
        <v>1698847.727256208</v>
      </c>
      <c r="G53" s="53">
        <f>SUM(G48:G52)</f>
        <v>1930041.798439946</v>
      </c>
      <c r="H53" s="23"/>
      <c r="I53" s="1524"/>
      <c r="J53" s="23"/>
      <c r="K53" s="7"/>
      <c r="L53" s="7"/>
      <c r="M53" s="7"/>
      <c r="N53" s="7"/>
      <c r="O53" s="7"/>
      <c r="P53" s="7"/>
      <c r="Q53" s="7"/>
      <c r="R53" s="7"/>
      <c r="S53" s="7"/>
      <c r="T53" s="7"/>
      <c r="U53" s="7"/>
      <c r="V53" s="7"/>
      <c r="W53" s="7"/>
      <c r="X53" s="7"/>
      <c r="Y53" s="7"/>
    </row>
    <row r="54" spans="1:25" ht="16">
      <c r="A54" s="28"/>
      <c r="B54" s="28"/>
      <c r="C54" s="28"/>
      <c r="D54" s="28"/>
      <c r="E54" s="28"/>
      <c r="F54" s="28"/>
      <c r="G54" s="28"/>
      <c r="H54" s="23"/>
      <c r="I54" s="3"/>
      <c r="J54" s="23"/>
      <c r="K54" s="7"/>
      <c r="L54" s="7"/>
      <c r="M54" s="7"/>
      <c r="N54" s="7"/>
      <c r="O54" s="7"/>
      <c r="P54" s="7"/>
      <c r="Q54" s="7"/>
      <c r="R54" s="7"/>
      <c r="S54" s="7"/>
      <c r="T54" s="7"/>
      <c r="U54" s="7"/>
      <c r="V54" s="7"/>
      <c r="W54" s="7"/>
      <c r="X54" s="7"/>
      <c r="Y54" s="7"/>
    </row>
    <row r="55" spans="1:25" ht="16">
      <c r="A55" s="1959" t="s">
        <v>69</v>
      </c>
      <c r="B55" s="1956"/>
      <c r="C55" s="1956"/>
      <c r="D55" s="1956"/>
      <c r="E55" s="1956"/>
      <c r="F55" s="1956"/>
      <c r="G55" s="1957"/>
      <c r="H55" s="23"/>
      <c r="I55" s="3"/>
      <c r="J55" s="23"/>
      <c r="K55" s="7"/>
      <c r="L55" s="7"/>
      <c r="M55" s="7"/>
      <c r="N55" s="7"/>
      <c r="O55" s="7"/>
      <c r="P55" s="7"/>
      <c r="Q55" s="7"/>
      <c r="R55" s="7"/>
      <c r="S55" s="7"/>
      <c r="T55" s="7"/>
      <c r="U55" s="7"/>
      <c r="V55" s="7"/>
      <c r="W55" s="7"/>
      <c r="X55" s="7"/>
      <c r="Y55" s="7"/>
    </row>
    <row r="56" spans="1:25" ht="16">
      <c r="A56" s="23"/>
      <c r="B56" s="23"/>
      <c r="C56" s="70"/>
      <c r="D56" s="70"/>
      <c r="E56" s="70"/>
      <c r="F56" s="70"/>
      <c r="G56" s="70"/>
      <c r="H56" s="23"/>
      <c r="I56" s="3"/>
      <c r="J56" s="23"/>
      <c r="K56" s="7"/>
      <c r="L56" s="7"/>
      <c r="M56" s="7"/>
      <c r="N56" s="7"/>
      <c r="O56" s="7"/>
      <c r="P56" s="7"/>
      <c r="Q56" s="7"/>
      <c r="R56" s="7"/>
      <c r="S56" s="7"/>
      <c r="T56" s="7"/>
      <c r="U56" s="7"/>
      <c r="V56" s="7"/>
      <c r="W56" s="7"/>
      <c r="X56" s="7"/>
      <c r="Y56" s="7"/>
    </row>
    <row r="57" spans="1:25" ht="16">
      <c r="A57" s="23" t="s">
        <v>70</v>
      </c>
      <c r="B57" s="71"/>
      <c r="C57" s="72">
        <f>'OM Year0-5 Inventory Management'!C34+'OM Year0-5 Inventory Management'!C41</f>
        <v>96116.84515798869</v>
      </c>
      <c r="D57" s="72">
        <f>'OM Year0-5 Inventory Management'!C58+'OM Year0-5 Inventory Management'!C65</f>
        <v>143692.16752929013</v>
      </c>
      <c r="E57" s="72">
        <f>'OM Year0-5 Inventory Management'!C82+'OM Year0-5 Inventory Management'!C89</f>
        <v>321651.2389721722</v>
      </c>
      <c r="F57" s="72">
        <f>'OM Year0-5 Inventory Management'!C106+'OM Year0-5 Inventory Management'!C113</f>
        <v>390548.89757933462</v>
      </c>
      <c r="G57" s="72">
        <f>'OM Year0-5 Inventory Management'!C130+'OM Year0-5 Inventory Management'!C137</f>
        <v>485381.53681183647</v>
      </c>
      <c r="H57" s="884"/>
      <c r="I57" s="3"/>
      <c r="J57" s="23"/>
      <c r="K57" s="7"/>
      <c r="L57" s="7"/>
      <c r="M57" s="7"/>
      <c r="N57" s="7"/>
      <c r="O57" s="7"/>
      <c r="P57" s="7"/>
      <c r="Q57" s="7"/>
      <c r="R57" s="7"/>
      <c r="S57" s="7"/>
      <c r="T57" s="7"/>
      <c r="U57" s="7"/>
      <c r="V57" s="7"/>
      <c r="W57" s="7"/>
      <c r="X57" s="7"/>
      <c r="Y57" s="7"/>
    </row>
    <row r="58" spans="1:25" ht="16">
      <c r="A58" s="23" t="s">
        <v>71</v>
      </c>
      <c r="B58" s="68"/>
      <c r="C58" s="73">
        <f>'OM Year0-5 Inventory Management'!C48</f>
        <v>85264.047207834577</v>
      </c>
      <c r="D58" s="73">
        <f>'OM Year0-5 Inventory Management'!C72</f>
        <v>108951.24664592973</v>
      </c>
      <c r="E58" s="73">
        <f>'OM Year0-5 Inventory Management'!C96</f>
        <v>227171.31304759328</v>
      </c>
      <c r="F58" s="73">
        <f>'OM Year0-5 Inventory Management'!C120</f>
        <v>266162.78199718357</v>
      </c>
      <c r="G58" s="73">
        <f>'OM Year0-5 Inventory Management'!C144</f>
        <v>322462.43855575938</v>
      </c>
      <c r="H58" s="884"/>
      <c r="I58" s="3"/>
      <c r="J58" s="23"/>
      <c r="K58" s="7"/>
      <c r="L58" s="7"/>
      <c r="M58" s="7"/>
      <c r="N58" s="7"/>
      <c r="O58" s="7"/>
      <c r="P58" s="7"/>
      <c r="Q58" s="7"/>
      <c r="R58" s="7"/>
      <c r="S58" s="7"/>
      <c r="T58" s="7"/>
      <c r="U58" s="7"/>
      <c r="V58" s="7"/>
      <c r="W58" s="7"/>
      <c r="X58" s="7"/>
      <c r="Y58" s="7"/>
    </row>
    <row r="59" spans="1:25" ht="16">
      <c r="A59" s="23" t="s">
        <v>72</v>
      </c>
      <c r="B59" s="60">
        <v>0</v>
      </c>
      <c r="C59" s="74">
        <v>0</v>
      </c>
      <c r="D59" s="74">
        <v>0</v>
      </c>
      <c r="E59" s="75">
        <f>'OM Depreciation'!E15</f>
        <v>19268</v>
      </c>
      <c r="F59" s="74">
        <v>0</v>
      </c>
      <c r="G59" s="74">
        <v>0</v>
      </c>
      <c r="H59" s="884"/>
      <c r="I59" s="3"/>
      <c r="J59" s="23"/>
      <c r="K59" s="7"/>
      <c r="L59" s="7"/>
      <c r="M59" s="7"/>
      <c r="N59" s="7"/>
      <c r="O59" s="7"/>
      <c r="P59" s="7"/>
      <c r="Q59" s="7"/>
      <c r="R59" s="7"/>
      <c r="S59" s="7"/>
      <c r="T59" s="7"/>
      <c r="U59" s="7"/>
      <c r="V59" s="7"/>
      <c r="W59" s="7"/>
      <c r="X59" s="7"/>
      <c r="Y59" s="7"/>
    </row>
    <row r="60" spans="1:25" ht="16">
      <c r="A60" s="28"/>
      <c r="B60" s="23"/>
      <c r="C60" s="23"/>
      <c r="D60" s="23"/>
      <c r="E60" s="23"/>
      <c r="F60" s="23"/>
      <c r="G60" s="23"/>
      <c r="H60" s="884"/>
      <c r="I60" s="3"/>
      <c r="J60" s="23"/>
      <c r="K60" s="7"/>
      <c r="L60" s="7"/>
      <c r="M60" s="7"/>
      <c r="N60" s="7"/>
      <c r="O60" s="7"/>
      <c r="P60" s="7"/>
      <c r="Q60" s="7"/>
      <c r="R60" s="7"/>
      <c r="S60" s="7"/>
      <c r="T60" s="7"/>
      <c r="U60" s="7"/>
      <c r="V60" s="7"/>
      <c r="W60" s="7"/>
      <c r="X60" s="7"/>
      <c r="Y60" s="7"/>
    </row>
    <row r="61" spans="1:25" ht="17">
      <c r="A61" s="29" t="s">
        <v>73</v>
      </c>
      <c r="B61" s="28"/>
      <c r="C61" s="1955"/>
      <c r="D61" s="1956"/>
      <c r="E61" s="1956"/>
      <c r="F61" s="1956"/>
      <c r="G61" s="1957"/>
      <c r="H61" s="23"/>
      <c r="I61" s="3"/>
      <c r="J61" s="23"/>
      <c r="K61" s="7"/>
      <c r="L61" s="7"/>
      <c r="M61" s="7"/>
      <c r="N61" s="7"/>
      <c r="O61" s="7"/>
      <c r="P61" s="7"/>
      <c r="Q61" s="7"/>
      <c r="R61" s="7"/>
      <c r="S61" s="7"/>
      <c r="T61" s="7"/>
      <c r="U61" s="7"/>
      <c r="V61" s="7"/>
      <c r="W61" s="7"/>
      <c r="X61" s="7"/>
      <c r="Y61" s="7"/>
    </row>
    <row r="62" spans="1:25" ht="16">
      <c r="A62" s="28" t="s">
        <v>74</v>
      </c>
      <c r="B62" s="76">
        <f>'FE Cash Flow'!J13</f>
        <v>0.25229750000000001</v>
      </c>
      <c r="C62" s="1960" t="s">
        <v>75</v>
      </c>
      <c r="D62" s="1957"/>
      <c r="E62" s="1960" t="s">
        <v>76</v>
      </c>
      <c r="F62" s="1956"/>
      <c r="G62" s="1957"/>
      <c r="H62" s="23"/>
      <c r="I62" s="14"/>
      <c r="J62" s="23"/>
      <c r="K62" s="7"/>
      <c r="L62" s="7"/>
      <c r="M62" s="7"/>
      <c r="N62" s="7"/>
      <c r="O62" s="7"/>
      <c r="P62" s="7"/>
      <c r="Q62" s="7"/>
      <c r="R62" s="7"/>
      <c r="S62" s="7"/>
      <c r="T62" s="7"/>
      <c r="U62" s="7"/>
      <c r="V62" s="7"/>
      <c r="W62" s="7"/>
      <c r="X62" s="7"/>
      <c r="Y62" s="7"/>
    </row>
    <row r="63" spans="1:25" ht="17">
      <c r="A63" s="37" t="s">
        <v>77</v>
      </c>
      <c r="B63" s="1234">
        <v>0.1</v>
      </c>
      <c r="C63" s="1955" t="s">
        <v>78</v>
      </c>
      <c r="D63" s="1956"/>
      <c r="E63" s="1956"/>
      <c r="F63" s="1956"/>
      <c r="G63" s="1957"/>
      <c r="H63" s="23"/>
      <c r="I63" s="3"/>
      <c r="J63" s="23"/>
      <c r="K63" s="7"/>
      <c r="L63" s="7"/>
      <c r="M63" s="7"/>
      <c r="N63" s="7"/>
      <c r="O63" s="7"/>
      <c r="P63" s="7"/>
      <c r="Q63" s="7"/>
      <c r="R63" s="7"/>
      <c r="S63" s="7"/>
      <c r="T63" s="7"/>
      <c r="U63" s="7"/>
      <c r="V63" s="7"/>
      <c r="W63" s="7"/>
      <c r="X63" s="7"/>
      <c r="Y63" s="7"/>
    </row>
    <row r="64" spans="1:25" ht="16">
      <c r="A64" s="28" t="s">
        <v>79</v>
      </c>
      <c r="B64" s="1234">
        <v>0.27</v>
      </c>
      <c r="C64" s="1955" t="s">
        <v>80</v>
      </c>
      <c r="D64" s="1956"/>
      <c r="E64" s="1956"/>
      <c r="F64" s="1956"/>
      <c r="G64" s="1957"/>
      <c r="H64" s="23"/>
      <c r="I64" s="3"/>
      <c r="J64" s="23"/>
      <c r="K64" s="7"/>
      <c r="L64" s="7"/>
      <c r="M64" s="7"/>
      <c r="N64" s="7"/>
      <c r="O64" s="7"/>
      <c r="P64" s="7"/>
      <c r="Q64" s="7"/>
      <c r="R64" s="7"/>
      <c r="S64" s="7"/>
      <c r="T64" s="7"/>
      <c r="U64" s="7"/>
      <c r="V64" s="7"/>
      <c r="W64" s="7"/>
      <c r="X64" s="7"/>
      <c r="Y64" s="7"/>
    </row>
    <row r="65" spans="1:25" ht="16">
      <c r="A65" s="28" t="s">
        <v>81</v>
      </c>
      <c r="B65" s="1234">
        <v>0.05</v>
      </c>
      <c r="C65" s="1955" t="s">
        <v>82</v>
      </c>
      <c r="D65" s="1956"/>
      <c r="E65" s="1956"/>
      <c r="F65" s="1956"/>
      <c r="G65" s="1957"/>
      <c r="H65" s="23"/>
      <c r="I65" s="3"/>
      <c r="J65" s="23"/>
      <c r="K65" s="7"/>
      <c r="L65" s="7"/>
      <c r="M65" s="7"/>
      <c r="N65" s="7"/>
      <c r="O65" s="7"/>
      <c r="P65" s="7"/>
      <c r="Q65" s="7"/>
      <c r="R65" s="7"/>
      <c r="S65" s="7"/>
      <c r="T65" s="7"/>
      <c r="U65" s="7"/>
      <c r="V65" s="7"/>
      <c r="W65" s="7"/>
      <c r="X65" s="7"/>
      <c r="Y65" s="7"/>
    </row>
    <row r="66" spans="1:25" ht="16">
      <c r="I66" s="3"/>
      <c r="J66" s="23"/>
      <c r="K66" s="7"/>
      <c r="L66" s="7"/>
      <c r="M66" s="7"/>
      <c r="N66" s="7"/>
      <c r="O66" s="7"/>
      <c r="P66" s="7"/>
      <c r="Q66" s="7"/>
      <c r="R66" s="7"/>
      <c r="S66" s="7"/>
      <c r="T66" s="7"/>
      <c r="U66" s="7"/>
      <c r="V66" s="7"/>
      <c r="W66" s="7"/>
      <c r="X66" s="7"/>
      <c r="Y66" s="7"/>
    </row>
    <row r="67" spans="1:25" ht="16">
      <c r="I67" s="3"/>
      <c r="J67" s="23"/>
      <c r="K67" s="7"/>
      <c r="L67" s="7"/>
      <c r="M67" s="7"/>
      <c r="N67" s="7"/>
      <c r="O67" s="7"/>
      <c r="P67" s="7"/>
      <c r="Q67" s="7"/>
      <c r="R67" s="7"/>
      <c r="S67" s="7"/>
      <c r="T67" s="7"/>
      <c r="U67" s="7"/>
      <c r="V67" s="7"/>
      <c r="W67" s="7"/>
      <c r="X67" s="7"/>
      <c r="Y67" s="7"/>
    </row>
    <row r="68" spans="1:25" ht="16">
      <c r="I68" s="3"/>
      <c r="J68" s="23"/>
      <c r="K68" s="7"/>
      <c r="L68" s="7"/>
      <c r="M68" s="7"/>
      <c r="N68" s="7"/>
      <c r="O68" s="7"/>
      <c r="P68" s="7"/>
      <c r="Q68" s="7"/>
      <c r="R68" s="7"/>
      <c r="S68" s="7"/>
      <c r="T68" s="7"/>
      <c r="U68" s="7"/>
      <c r="V68" s="7"/>
      <c r="W68" s="7"/>
      <c r="X68" s="7"/>
      <c r="Y68" s="7"/>
    </row>
    <row r="69" spans="1:25" ht="16">
      <c r="I69" s="3"/>
      <c r="J69" s="23"/>
      <c r="K69" s="7"/>
      <c r="L69" s="7"/>
      <c r="M69" s="7"/>
      <c r="N69" s="7"/>
      <c r="O69" s="7"/>
      <c r="P69" s="7"/>
      <c r="Q69" s="7"/>
      <c r="R69" s="7"/>
      <c r="S69" s="7"/>
      <c r="T69" s="7"/>
      <c r="U69" s="7"/>
      <c r="V69" s="7"/>
      <c r="W69" s="7"/>
      <c r="X69" s="7"/>
      <c r="Y69" s="7"/>
    </row>
    <row r="70" spans="1:25" ht="16">
      <c r="I70" s="3"/>
      <c r="J70" s="23"/>
      <c r="K70" s="7"/>
      <c r="L70" s="7"/>
      <c r="M70" s="7"/>
      <c r="N70" s="7"/>
      <c r="O70" s="7"/>
      <c r="P70" s="7"/>
      <c r="Q70" s="7"/>
      <c r="R70" s="7"/>
      <c r="S70" s="7"/>
      <c r="T70" s="7"/>
      <c r="U70" s="7"/>
      <c r="V70" s="7"/>
      <c r="W70" s="7"/>
      <c r="X70" s="7"/>
      <c r="Y70" s="7"/>
    </row>
    <row r="71" spans="1:25" ht="16">
      <c r="A71" s="23"/>
      <c r="B71" s="23"/>
      <c r="C71" s="23"/>
      <c r="D71" s="23"/>
      <c r="E71" s="23"/>
      <c r="F71" s="23"/>
      <c r="G71" s="23"/>
      <c r="H71" s="23"/>
      <c r="I71" s="3"/>
      <c r="J71" s="23"/>
      <c r="K71" s="7"/>
      <c r="L71" s="7"/>
      <c r="M71" s="7"/>
      <c r="N71" s="7"/>
      <c r="O71" s="7"/>
      <c r="P71" s="7"/>
      <c r="Q71" s="7"/>
      <c r="R71" s="7"/>
      <c r="S71" s="7"/>
      <c r="T71" s="7"/>
      <c r="U71" s="7"/>
      <c r="V71" s="7"/>
      <c r="W71" s="7"/>
      <c r="X71" s="7"/>
      <c r="Y71" s="7"/>
    </row>
    <row r="72" spans="1:25" ht="16">
      <c r="A72" s="77"/>
      <c r="B72" s="23"/>
      <c r="C72" s="23"/>
      <c r="D72" s="23"/>
      <c r="E72" s="23"/>
      <c r="F72" s="23"/>
      <c r="G72" s="23"/>
      <c r="H72" s="23"/>
      <c r="I72" s="3"/>
      <c r="J72" s="23"/>
      <c r="K72" s="7"/>
      <c r="L72" s="7"/>
      <c r="M72" s="7"/>
      <c r="N72" s="7"/>
      <c r="O72" s="7"/>
      <c r="P72" s="7"/>
      <c r="Q72" s="7"/>
      <c r="R72" s="7"/>
      <c r="S72" s="7"/>
      <c r="T72" s="7"/>
      <c r="U72" s="7"/>
      <c r="V72" s="7"/>
      <c r="W72" s="7"/>
      <c r="X72" s="7"/>
      <c r="Y72" s="7"/>
    </row>
    <row r="73" spans="1:25" ht="16">
      <c r="A73" s="77"/>
      <c r="B73" s="23"/>
      <c r="C73" s="23"/>
      <c r="D73" s="23"/>
      <c r="E73" s="23"/>
      <c r="F73" s="23"/>
      <c r="G73" s="23"/>
      <c r="H73" s="23"/>
      <c r="I73" s="3"/>
      <c r="J73" s="23"/>
      <c r="K73" s="7"/>
      <c r="L73" s="7"/>
      <c r="M73" s="7"/>
      <c r="N73" s="7"/>
      <c r="O73" s="7"/>
      <c r="P73" s="7"/>
      <c r="Q73" s="7"/>
      <c r="R73" s="7"/>
      <c r="S73" s="7"/>
      <c r="T73" s="7"/>
      <c r="U73" s="7"/>
      <c r="V73" s="7"/>
      <c r="W73" s="7"/>
      <c r="X73" s="7"/>
      <c r="Y73" s="7"/>
    </row>
    <row r="74" spans="1:25" ht="16">
      <c r="A74" s="77"/>
      <c r="B74" s="23"/>
      <c r="C74" s="23"/>
      <c r="D74" s="23"/>
      <c r="E74" s="23"/>
      <c r="F74" s="23"/>
      <c r="G74" s="23"/>
      <c r="H74" s="23"/>
      <c r="I74" s="3"/>
      <c r="J74" s="23"/>
      <c r="K74" s="7"/>
      <c r="L74" s="7"/>
      <c r="M74" s="7"/>
      <c r="N74" s="7"/>
      <c r="O74" s="7"/>
      <c r="P74" s="7"/>
      <c r="Q74" s="7"/>
      <c r="R74" s="7"/>
      <c r="S74" s="7"/>
      <c r="T74" s="7"/>
      <c r="U74" s="7"/>
      <c r="V74" s="7"/>
      <c r="W74" s="7"/>
      <c r="X74" s="7"/>
      <c r="Y74" s="7"/>
    </row>
    <row r="75" spans="1:25" ht="16">
      <c r="A75" s="77"/>
      <c r="B75" s="23"/>
      <c r="C75" s="23"/>
      <c r="D75" s="23"/>
      <c r="E75" s="23"/>
      <c r="F75" s="23"/>
      <c r="G75" s="23"/>
      <c r="H75" s="23"/>
      <c r="I75" s="3"/>
      <c r="J75" s="23"/>
      <c r="K75" s="7"/>
      <c r="L75" s="7"/>
      <c r="M75" s="7"/>
      <c r="N75" s="7"/>
      <c r="O75" s="7"/>
      <c r="P75" s="7"/>
      <c r="Q75" s="7"/>
      <c r="R75" s="7"/>
      <c r="S75" s="7"/>
      <c r="T75" s="7"/>
      <c r="U75" s="7"/>
      <c r="V75" s="7"/>
      <c r="W75" s="7"/>
      <c r="X75" s="7"/>
      <c r="Y75" s="7"/>
    </row>
    <row r="76" spans="1:25" ht="16">
      <c r="A76" s="78"/>
      <c r="B76" s="79"/>
      <c r="C76" s="80"/>
      <c r="D76" s="23"/>
      <c r="E76" s="23"/>
      <c r="F76" s="23"/>
      <c r="G76" s="23"/>
      <c r="H76" s="23"/>
      <c r="I76" s="3"/>
      <c r="J76" s="23"/>
      <c r="K76" s="7"/>
      <c r="L76" s="7"/>
      <c r="M76" s="7"/>
      <c r="N76" s="7"/>
      <c r="O76" s="7"/>
      <c r="P76" s="7"/>
      <c r="Q76" s="7"/>
      <c r="R76" s="7"/>
      <c r="S76" s="7"/>
      <c r="T76" s="7"/>
      <c r="U76" s="7"/>
      <c r="V76" s="7"/>
      <c r="W76" s="7"/>
      <c r="X76" s="7"/>
      <c r="Y76" s="7"/>
    </row>
    <row r="77" spans="1:25" ht="16">
      <c r="A77" s="77"/>
      <c r="B77" s="23"/>
      <c r="C77" s="23"/>
      <c r="D77" s="23"/>
      <c r="E77" s="23"/>
      <c r="F77" s="23"/>
      <c r="G77" s="23"/>
      <c r="H77" s="23"/>
      <c r="I77" s="3"/>
      <c r="J77" s="23"/>
      <c r="K77" s="7"/>
      <c r="L77" s="7"/>
      <c r="M77" s="7"/>
      <c r="N77" s="7"/>
      <c r="O77" s="7"/>
      <c r="P77" s="7"/>
      <c r="Q77" s="7"/>
      <c r="R77" s="7"/>
      <c r="S77" s="7"/>
      <c r="T77" s="7"/>
      <c r="U77" s="7"/>
      <c r="V77" s="7"/>
      <c r="W77" s="7"/>
      <c r="X77" s="7"/>
      <c r="Y77" s="7"/>
    </row>
    <row r="78" spans="1:25" ht="16">
      <c r="A78" s="77"/>
      <c r="B78" s="23"/>
      <c r="C78" s="23"/>
      <c r="D78" s="23"/>
      <c r="E78" s="23"/>
      <c r="F78" s="23"/>
      <c r="G78" s="23"/>
      <c r="H78" s="23"/>
      <c r="I78" s="3"/>
      <c r="J78" s="23"/>
      <c r="K78" s="7"/>
      <c r="L78" s="7"/>
      <c r="M78" s="7"/>
      <c r="N78" s="7"/>
      <c r="O78" s="7"/>
      <c r="P78" s="7"/>
      <c r="Q78" s="7"/>
      <c r="R78" s="7"/>
      <c r="S78" s="7"/>
      <c r="T78" s="7"/>
      <c r="U78" s="7"/>
      <c r="V78" s="7"/>
      <c r="W78" s="7"/>
      <c r="X78" s="7"/>
      <c r="Y78" s="7"/>
    </row>
    <row r="79" spans="1:25" ht="16">
      <c r="A79" s="77"/>
      <c r="B79" s="23"/>
      <c r="C79" s="23"/>
      <c r="D79" s="23"/>
      <c r="E79" s="23"/>
      <c r="F79" s="23"/>
      <c r="G79" s="23"/>
      <c r="H79" s="23"/>
      <c r="I79" s="3"/>
      <c r="J79" s="23"/>
      <c r="K79" s="7"/>
      <c r="L79" s="7"/>
      <c r="M79" s="7"/>
      <c r="N79" s="7"/>
      <c r="O79" s="7"/>
      <c r="P79" s="7"/>
      <c r="Q79" s="7"/>
      <c r="R79" s="7"/>
      <c r="S79" s="7"/>
      <c r="T79" s="7"/>
      <c r="U79" s="7"/>
      <c r="V79" s="7"/>
      <c r="W79" s="7"/>
      <c r="X79" s="7"/>
      <c r="Y79" s="7"/>
    </row>
    <row r="80" spans="1:25" ht="16">
      <c r="A80" s="77"/>
      <c r="B80" s="23"/>
      <c r="C80" s="23"/>
      <c r="D80" s="23"/>
      <c r="E80" s="23"/>
      <c r="F80" s="23"/>
      <c r="G80" s="23"/>
      <c r="H80" s="23"/>
      <c r="I80" s="3"/>
      <c r="J80" s="23"/>
      <c r="K80" s="7"/>
      <c r="L80" s="7"/>
      <c r="M80" s="7"/>
      <c r="N80" s="7"/>
      <c r="O80" s="7"/>
      <c r="P80" s="7"/>
      <c r="Q80" s="7"/>
      <c r="R80" s="7"/>
      <c r="S80" s="7"/>
      <c r="T80" s="7"/>
      <c r="U80" s="7"/>
      <c r="V80" s="7"/>
      <c r="W80" s="7"/>
      <c r="X80" s="7"/>
      <c r="Y80" s="7"/>
    </row>
    <row r="81" spans="1:25" ht="16">
      <c r="A81" s="77"/>
      <c r="B81" s="23"/>
      <c r="C81" s="23"/>
      <c r="D81" s="23"/>
      <c r="E81" s="23"/>
      <c r="F81" s="23"/>
      <c r="G81" s="23"/>
      <c r="H81" s="23"/>
      <c r="I81" s="3"/>
      <c r="J81" s="23"/>
      <c r="K81" s="7"/>
      <c r="L81" s="7"/>
      <c r="M81" s="7"/>
      <c r="N81" s="7"/>
      <c r="O81" s="7"/>
      <c r="P81" s="7"/>
      <c r="Q81" s="7"/>
      <c r="R81" s="7"/>
      <c r="S81" s="7"/>
      <c r="T81" s="7"/>
      <c r="U81" s="7"/>
      <c r="V81" s="7"/>
      <c r="W81" s="7"/>
      <c r="X81" s="7"/>
      <c r="Y81" s="7"/>
    </row>
    <row r="82" spans="1:25" ht="16">
      <c r="A82" s="77"/>
      <c r="B82" s="23"/>
      <c r="C82" s="23"/>
      <c r="D82" s="23"/>
      <c r="E82" s="23"/>
      <c r="F82" s="23"/>
      <c r="G82" s="23"/>
      <c r="H82" s="23"/>
      <c r="I82" s="3"/>
      <c r="J82" s="23"/>
      <c r="K82" s="7"/>
      <c r="L82" s="7"/>
      <c r="M82" s="7"/>
      <c r="N82" s="7"/>
      <c r="O82" s="7"/>
      <c r="P82" s="7"/>
      <c r="Q82" s="7"/>
      <c r="R82" s="7"/>
      <c r="S82" s="7"/>
      <c r="T82" s="7"/>
      <c r="U82" s="7"/>
      <c r="V82" s="7"/>
      <c r="W82" s="7"/>
      <c r="X82" s="7"/>
      <c r="Y82" s="7"/>
    </row>
    <row r="83" spans="1:25" ht="16">
      <c r="A83" s="77"/>
      <c r="B83" s="23"/>
      <c r="C83" s="23"/>
      <c r="D83" s="23"/>
      <c r="E83" s="23"/>
      <c r="F83" s="23"/>
      <c r="G83" s="23"/>
      <c r="H83" s="23"/>
      <c r="I83" s="3"/>
      <c r="J83" s="23"/>
      <c r="K83" s="7"/>
      <c r="L83" s="7"/>
      <c r="M83" s="7"/>
      <c r="N83" s="7"/>
      <c r="O83" s="7"/>
      <c r="P83" s="7"/>
      <c r="Q83" s="7"/>
      <c r="R83" s="7"/>
      <c r="S83" s="7"/>
      <c r="T83" s="7"/>
      <c r="U83" s="7"/>
      <c r="V83" s="7"/>
      <c r="W83" s="7"/>
      <c r="X83" s="7"/>
      <c r="Y83" s="7"/>
    </row>
    <row r="84" spans="1:25" ht="16">
      <c r="A84" s="77"/>
      <c r="B84" s="23"/>
      <c r="C84" s="23"/>
      <c r="D84" s="23"/>
      <c r="E84" s="23"/>
      <c r="F84" s="23"/>
      <c r="G84" s="23"/>
      <c r="H84" s="23"/>
      <c r="I84" s="3"/>
      <c r="J84" s="23"/>
      <c r="K84" s="7"/>
      <c r="L84" s="7"/>
      <c r="M84" s="7"/>
      <c r="N84" s="7"/>
      <c r="O84" s="7"/>
      <c r="P84" s="7"/>
      <c r="Q84" s="7"/>
      <c r="R84" s="7"/>
      <c r="S84" s="7"/>
      <c r="T84" s="7"/>
      <c r="U84" s="7"/>
      <c r="V84" s="7"/>
      <c r="W84" s="7"/>
      <c r="X84" s="7"/>
      <c r="Y84" s="7"/>
    </row>
    <row r="85" spans="1:25" ht="16">
      <c r="A85" s="77"/>
      <c r="B85" s="23"/>
      <c r="C85" s="23"/>
      <c r="D85" s="23"/>
      <c r="E85" s="23"/>
      <c r="F85" s="23"/>
      <c r="G85" s="23"/>
      <c r="H85" s="23"/>
      <c r="I85" s="3"/>
      <c r="J85" s="23"/>
      <c r="K85" s="7"/>
      <c r="L85" s="7"/>
      <c r="M85" s="7"/>
      <c r="N85" s="7"/>
      <c r="O85" s="7"/>
      <c r="P85" s="7"/>
      <c r="Q85" s="7"/>
      <c r="R85" s="7"/>
      <c r="S85" s="7"/>
      <c r="T85" s="7"/>
      <c r="U85" s="7"/>
      <c r="V85" s="7"/>
      <c r="W85" s="7"/>
      <c r="X85" s="7"/>
      <c r="Y85" s="7"/>
    </row>
    <row r="86" spans="1:25" ht="16">
      <c r="A86" s="77"/>
      <c r="B86" s="23"/>
      <c r="C86" s="23"/>
      <c r="D86" s="23"/>
      <c r="E86" s="23"/>
      <c r="F86" s="23"/>
      <c r="G86" s="23"/>
      <c r="H86" s="23"/>
      <c r="I86" s="3"/>
      <c r="J86" s="23"/>
      <c r="K86" s="7"/>
      <c r="L86" s="7"/>
      <c r="M86" s="7"/>
      <c r="N86" s="7"/>
      <c r="O86" s="7"/>
      <c r="P86" s="7"/>
      <c r="Q86" s="7"/>
      <c r="R86" s="7"/>
      <c r="S86" s="7"/>
      <c r="T86" s="7"/>
      <c r="U86" s="7"/>
      <c r="V86" s="7"/>
      <c r="W86" s="7"/>
      <c r="X86" s="7"/>
      <c r="Y86" s="7"/>
    </row>
    <row r="87" spans="1:25" ht="15">
      <c r="A87" s="81"/>
      <c r="B87" s="7"/>
      <c r="C87" s="7"/>
      <c r="D87" s="7"/>
      <c r="E87" s="7"/>
      <c r="F87" s="7"/>
      <c r="G87" s="7"/>
      <c r="H87" s="7"/>
      <c r="J87" s="7"/>
      <c r="K87" s="7"/>
      <c r="L87" s="7"/>
      <c r="M87" s="7"/>
      <c r="N87" s="7"/>
      <c r="O87" s="7"/>
      <c r="P87" s="7"/>
      <c r="Q87" s="7"/>
      <c r="R87" s="7"/>
      <c r="S87" s="7"/>
      <c r="T87" s="7"/>
      <c r="U87" s="7"/>
      <c r="V87" s="7"/>
      <c r="W87" s="7"/>
      <c r="X87" s="7"/>
      <c r="Y87" s="7"/>
    </row>
    <row r="88" spans="1:25" ht="15">
      <c r="A88" s="81"/>
      <c r="B88" s="7"/>
      <c r="C88" s="7"/>
      <c r="D88" s="7"/>
      <c r="E88" s="7"/>
      <c r="F88" s="7"/>
      <c r="G88" s="7"/>
      <c r="H88" s="7"/>
      <c r="J88" s="7"/>
      <c r="K88" s="7"/>
      <c r="L88" s="7"/>
      <c r="M88" s="7"/>
      <c r="N88" s="7"/>
      <c r="O88" s="7"/>
      <c r="P88" s="7"/>
      <c r="Q88" s="7"/>
      <c r="R88" s="7"/>
      <c r="S88" s="7"/>
      <c r="T88" s="7"/>
      <c r="U88" s="7"/>
      <c r="V88" s="7"/>
      <c r="W88" s="7"/>
      <c r="X88" s="7"/>
      <c r="Y88" s="7"/>
    </row>
    <row r="89" spans="1:25" ht="15">
      <c r="A89" s="81"/>
      <c r="B89" s="7"/>
      <c r="C89" s="7"/>
      <c r="D89" s="7"/>
      <c r="E89" s="7"/>
      <c r="F89" s="7"/>
      <c r="G89" s="7"/>
      <c r="H89" s="7"/>
      <c r="J89" s="7"/>
      <c r="K89" s="7"/>
      <c r="L89" s="7"/>
      <c r="M89" s="7"/>
      <c r="N89" s="7"/>
      <c r="O89" s="7"/>
      <c r="P89" s="7"/>
      <c r="Q89" s="7"/>
      <c r="R89" s="7"/>
      <c r="S89" s="7"/>
      <c r="T89" s="7"/>
      <c r="U89" s="7"/>
      <c r="V89" s="7"/>
      <c r="W89" s="7"/>
      <c r="X89" s="7"/>
      <c r="Y89" s="7"/>
    </row>
    <row r="90" spans="1:25" ht="15">
      <c r="A90" s="81"/>
      <c r="B90" s="7"/>
      <c r="C90" s="7"/>
      <c r="D90" s="7"/>
      <c r="E90" s="7"/>
      <c r="F90" s="7"/>
      <c r="G90" s="7"/>
      <c r="H90" s="7"/>
      <c r="J90" s="7"/>
      <c r="K90" s="7"/>
      <c r="L90" s="7"/>
      <c r="M90" s="7"/>
      <c r="N90" s="7"/>
      <c r="O90" s="7"/>
      <c r="P90" s="7"/>
      <c r="Q90" s="7"/>
      <c r="R90" s="7"/>
      <c r="S90" s="7"/>
      <c r="T90" s="7"/>
      <c r="U90" s="7"/>
      <c r="V90" s="7"/>
      <c r="W90" s="7"/>
      <c r="X90" s="7"/>
      <c r="Y90" s="7"/>
    </row>
    <row r="91" spans="1:25" ht="15">
      <c r="A91" s="81"/>
      <c r="B91" s="7"/>
      <c r="C91" s="7"/>
      <c r="D91" s="7"/>
      <c r="E91" s="7"/>
      <c r="F91" s="7"/>
      <c r="G91" s="7"/>
      <c r="H91" s="7"/>
      <c r="J91" s="7"/>
      <c r="K91" s="7"/>
      <c r="L91" s="7"/>
      <c r="M91" s="7"/>
      <c r="N91" s="7"/>
      <c r="O91" s="7"/>
      <c r="P91" s="7"/>
      <c r="Q91" s="7"/>
      <c r="R91" s="7"/>
      <c r="S91" s="7"/>
      <c r="T91" s="7"/>
      <c r="U91" s="7"/>
      <c r="V91" s="7"/>
      <c r="W91" s="7"/>
      <c r="X91" s="7"/>
      <c r="Y91" s="7"/>
    </row>
    <row r="92" spans="1:25" ht="15">
      <c r="A92" s="81"/>
      <c r="B92" s="7"/>
      <c r="C92" s="7"/>
      <c r="D92" s="7"/>
      <c r="E92" s="7"/>
      <c r="F92" s="7"/>
      <c r="G92" s="7"/>
      <c r="H92" s="7"/>
      <c r="J92" s="7"/>
      <c r="K92" s="7"/>
      <c r="L92" s="7"/>
      <c r="M92" s="7"/>
      <c r="N92" s="7"/>
      <c r="O92" s="7"/>
      <c r="P92" s="7"/>
      <c r="Q92" s="7"/>
      <c r="R92" s="7"/>
      <c r="S92" s="7"/>
      <c r="T92" s="7"/>
      <c r="U92" s="7"/>
      <c r="V92" s="7"/>
      <c r="W92" s="7"/>
      <c r="X92" s="7"/>
      <c r="Y92" s="7"/>
    </row>
    <row r="93" spans="1:25" ht="15">
      <c r="A93" s="81"/>
      <c r="B93" s="7"/>
      <c r="C93" s="7"/>
      <c r="D93" s="7"/>
      <c r="E93" s="7"/>
      <c r="F93" s="7"/>
      <c r="G93" s="7"/>
      <c r="H93" s="7"/>
      <c r="J93" s="7"/>
      <c r="K93" s="7"/>
      <c r="L93" s="7"/>
      <c r="M93" s="7"/>
      <c r="N93" s="7"/>
      <c r="O93" s="7"/>
      <c r="P93" s="7"/>
      <c r="Q93" s="7"/>
      <c r="R93" s="7"/>
      <c r="S93" s="7"/>
      <c r="T93" s="7"/>
      <c r="U93" s="7"/>
      <c r="V93" s="7"/>
      <c r="W93" s="7"/>
      <c r="X93" s="7"/>
      <c r="Y93" s="7"/>
    </row>
    <row r="94" spans="1:25" ht="15">
      <c r="A94" s="81"/>
      <c r="B94" s="7"/>
      <c r="C94" s="7"/>
      <c r="D94" s="7"/>
      <c r="E94" s="7"/>
      <c r="F94" s="7"/>
      <c r="G94" s="7"/>
      <c r="H94" s="7"/>
      <c r="J94" s="7"/>
      <c r="K94" s="7"/>
      <c r="L94" s="7"/>
      <c r="M94" s="7"/>
      <c r="N94" s="7"/>
      <c r="O94" s="7"/>
      <c r="P94" s="7"/>
      <c r="Q94" s="7"/>
      <c r="R94" s="7"/>
      <c r="S94" s="7"/>
      <c r="T94" s="7"/>
      <c r="U94" s="7"/>
      <c r="V94" s="7"/>
      <c r="W94" s="7"/>
      <c r="X94" s="7"/>
      <c r="Y94" s="7"/>
    </row>
    <row r="95" spans="1:25" ht="15">
      <c r="A95" s="81"/>
      <c r="B95" s="7"/>
      <c r="C95" s="7"/>
      <c r="D95" s="7"/>
      <c r="E95" s="7"/>
      <c r="F95" s="7"/>
      <c r="G95" s="7"/>
      <c r="H95" s="7"/>
      <c r="J95" s="7"/>
      <c r="K95" s="7"/>
      <c r="L95" s="7"/>
      <c r="M95" s="7"/>
      <c r="N95" s="7"/>
      <c r="O95" s="7"/>
      <c r="P95" s="7"/>
      <c r="Q95" s="7"/>
      <c r="R95" s="7"/>
      <c r="S95" s="7"/>
      <c r="T95" s="7"/>
      <c r="U95" s="7"/>
      <c r="V95" s="7"/>
      <c r="W95" s="7"/>
      <c r="X95" s="7"/>
      <c r="Y95" s="7"/>
    </row>
    <row r="96" spans="1:25" ht="15">
      <c r="A96" s="81"/>
      <c r="B96" s="7"/>
      <c r="C96" s="7"/>
      <c r="D96" s="7"/>
      <c r="E96" s="7"/>
      <c r="F96" s="7"/>
      <c r="G96" s="7"/>
      <c r="H96" s="7"/>
      <c r="J96" s="7"/>
      <c r="K96" s="7"/>
      <c r="L96" s="7"/>
      <c r="M96" s="7"/>
      <c r="N96" s="7"/>
      <c r="O96" s="7"/>
      <c r="P96" s="7"/>
      <c r="Q96" s="7"/>
      <c r="R96" s="7"/>
      <c r="S96" s="7"/>
      <c r="T96" s="7"/>
      <c r="U96" s="7"/>
      <c r="V96" s="7"/>
      <c r="W96" s="7"/>
      <c r="X96" s="7"/>
      <c r="Y96" s="7"/>
    </row>
    <row r="97" spans="1:25" ht="15">
      <c r="A97" s="81"/>
      <c r="B97" s="7"/>
      <c r="C97" s="7"/>
      <c r="D97" s="7"/>
      <c r="E97" s="7"/>
      <c r="F97" s="7"/>
      <c r="G97" s="7"/>
      <c r="H97" s="7"/>
      <c r="J97" s="7"/>
      <c r="K97" s="7"/>
      <c r="L97" s="7"/>
      <c r="M97" s="7"/>
      <c r="N97" s="7"/>
      <c r="O97" s="7"/>
      <c r="P97" s="7"/>
      <c r="Q97" s="7"/>
      <c r="R97" s="7"/>
      <c r="S97" s="7"/>
      <c r="T97" s="7"/>
      <c r="U97" s="7"/>
      <c r="V97" s="7"/>
      <c r="W97" s="7"/>
      <c r="X97" s="7"/>
      <c r="Y97" s="7"/>
    </row>
    <row r="98" spans="1:25" ht="15">
      <c r="A98" s="81"/>
      <c r="B98" s="7"/>
      <c r="C98" s="7"/>
      <c r="D98" s="7"/>
      <c r="E98" s="7"/>
      <c r="F98" s="7"/>
      <c r="G98" s="7"/>
      <c r="H98" s="7"/>
      <c r="J98" s="7"/>
      <c r="K98" s="7"/>
      <c r="L98" s="7"/>
      <c r="M98" s="7"/>
      <c r="N98" s="7"/>
      <c r="O98" s="7"/>
      <c r="P98" s="7"/>
      <c r="Q98" s="7"/>
      <c r="R98" s="7"/>
      <c r="S98" s="7"/>
      <c r="T98" s="7"/>
      <c r="U98" s="7"/>
      <c r="V98" s="7"/>
      <c r="W98" s="7"/>
      <c r="X98" s="7"/>
      <c r="Y98" s="7"/>
    </row>
    <row r="99" spans="1:25" ht="15">
      <c r="A99" s="81"/>
      <c r="B99" s="7"/>
      <c r="C99" s="7"/>
      <c r="D99" s="7"/>
      <c r="E99" s="7"/>
      <c r="F99" s="7"/>
      <c r="G99" s="7"/>
      <c r="H99" s="7"/>
      <c r="J99" s="7"/>
      <c r="K99" s="7"/>
      <c r="L99" s="7"/>
      <c r="M99" s="7"/>
      <c r="N99" s="7"/>
      <c r="O99" s="7"/>
      <c r="P99" s="7"/>
      <c r="Q99" s="7"/>
      <c r="R99" s="7"/>
      <c r="S99" s="7"/>
      <c r="T99" s="7"/>
      <c r="U99" s="7"/>
      <c r="V99" s="7"/>
      <c r="W99" s="7"/>
      <c r="X99" s="7"/>
      <c r="Y99" s="7"/>
    </row>
    <row r="100" spans="1:25" ht="15">
      <c r="A100" s="81"/>
      <c r="B100" s="7"/>
      <c r="C100" s="7"/>
      <c r="D100" s="7"/>
      <c r="E100" s="7"/>
      <c r="F100" s="7"/>
      <c r="G100" s="7"/>
      <c r="H100" s="7"/>
      <c r="J100" s="7"/>
      <c r="K100" s="7"/>
      <c r="L100" s="7"/>
      <c r="M100" s="7"/>
      <c r="N100" s="7"/>
      <c r="O100" s="7"/>
      <c r="P100" s="7"/>
      <c r="Q100" s="7"/>
      <c r="R100" s="7"/>
      <c r="S100" s="7"/>
      <c r="T100" s="7"/>
      <c r="U100" s="7"/>
      <c r="V100" s="7"/>
      <c r="W100" s="7"/>
      <c r="X100" s="7"/>
      <c r="Y100" s="7"/>
    </row>
    <row r="101" spans="1:25" ht="15">
      <c r="A101" s="81"/>
      <c r="B101" s="7"/>
      <c r="C101" s="7"/>
      <c r="D101" s="7"/>
      <c r="E101" s="7"/>
      <c r="F101" s="7"/>
      <c r="G101" s="7"/>
      <c r="H101" s="7"/>
      <c r="J101" s="7"/>
      <c r="K101" s="7"/>
      <c r="L101" s="7"/>
      <c r="M101" s="7"/>
      <c r="N101" s="7"/>
      <c r="O101" s="7"/>
      <c r="P101" s="7"/>
      <c r="Q101" s="7"/>
      <c r="R101" s="7"/>
      <c r="S101" s="7"/>
      <c r="T101" s="7"/>
      <c r="U101" s="7"/>
      <c r="V101" s="7"/>
      <c r="W101" s="7"/>
      <c r="X101" s="7"/>
      <c r="Y101" s="7"/>
    </row>
    <row r="102" spans="1:25" ht="15">
      <c r="A102" s="81"/>
      <c r="B102" s="7"/>
      <c r="C102" s="7"/>
      <c r="D102" s="7"/>
      <c r="E102" s="7"/>
      <c r="F102" s="7"/>
      <c r="G102" s="7"/>
      <c r="H102" s="7"/>
      <c r="J102" s="7"/>
      <c r="K102" s="7"/>
      <c r="L102" s="7"/>
      <c r="M102" s="7"/>
      <c r="N102" s="7"/>
      <c r="O102" s="7"/>
      <c r="P102" s="7"/>
      <c r="Q102" s="7"/>
      <c r="R102" s="7"/>
      <c r="S102" s="7"/>
      <c r="T102" s="7"/>
      <c r="U102" s="7"/>
      <c r="V102" s="7"/>
      <c r="W102" s="7"/>
      <c r="X102" s="7"/>
      <c r="Y102" s="7"/>
    </row>
    <row r="103" spans="1:25" ht="15">
      <c r="A103" s="81"/>
      <c r="B103" s="7"/>
      <c r="C103" s="7"/>
      <c r="D103" s="7"/>
      <c r="E103" s="7"/>
      <c r="F103" s="7"/>
      <c r="G103" s="7"/>
      <c r="H103" s="7"/>
      <c r="J103" s="7"/>
      <c r="K103" s="7"/>
      <c r="L103" s="7"/>
      <c r="M103" s="7"/>
      <c r="N103" s="7"/>
      <c r="O103" s="7"/>
      <c r="P103" s="7"/>
      <c r="Q103" s="7"/>
      <c r="R103" s="7"/>
      <c r="S103" s="7"/>
      <c r="T103" s="7"/>
      <c r="U103" s="7"/>
      <c r="V103" s="7"/>
      <c r="W103" s="7"/>
      <c r="X103" s="7"/>
      <c r="Y103" s="7"/>
    </row>
    <row r="104" spans="1:25" ht="15">
      <c r="A104" s="81"/>
      <c r="B104" s="7"/>
      <c r="C104" s="7"/>
      <c r="D104" s="7"/>
      <c r="E104" s="7"/>
      <c r="F104" s="7"/>
      <c r="G104" s="7"/>
      <c r="H104" s="7"/>
      <c r="J104" s="7"/>
      <c r="K104" s="7"/>
      <c r="L104" s="7"/>
      <c r="M104" s="7"/>
      <c r="N104" s="7"/>
      <c r="O104" s="7"/>
      <c r="P104" s="7"/>
      <c r="Q104" s="7"/>
      <c r="R104" s="7"/>
      <c r="S104" s="7"/>
      <c r="T104" s="7"/>
      <c r="U104" s="7"/>
      <c r="V104" s="7"/>
      <c r="W104" s="7"/>
      <c r="X104" s="7"/>
      <c r="Y104" s="7"/>
    </row>
    <row r="105" spans="1:25" ht="15">
      <c r="A105" s="81"/>
      <c r="B105" s="7"/>
      <c r="C105" s="7"/>
      <c r="D105" s="7"/>
      <c r="E105" s="7"/>
      <c r="F105" s="7"/>
      <c r="G105" s="7"/>
      <c r="H105" s="7"/>
      <c r="J105" s="7"/>
      <c r="K105" s="7"/>
      <c r="L105" s="7"/>
      <c r="M105" s="7"/>
      <c r="N105" s="7"/>
      <c r="O105" s="7"/>
      <c r="P105" s="7"/>
      <c r="Q105" s="7"/>
      <c r="R105" s="7"/>
      <c r="S105" s="7"/>
      <c r="T105" s="7"/>
      <c r="U105" s="7"/>
      <c r="V105" s="7"/>
      <c r="W105" s="7"/>
      <c r="X105" s="7"/>
      <c r="Y105" s="7"/>
    </row>
    <row r="106" spans="1:25" ht="15">
      <c r="A106" s="81"/>
      <c r="B106" s="7"/>
      <c r="C106" s="7"/>
      <c r="D106" s="7"/>
      <c r="E106" s="7"/>
      <c r="F106" s="7"/>
      <c r="G106" s="7"/>
      <c r="H106" s="7"/>
      <c r="J106" s="7"/>
      <c r="K106" s="7"/>
      <c r="L106" s="7"/>
      <c r="M106" s="7"/>
      <c r="N106" s="7"/>
      <c r="O106" s="7"/>
      <c r="P106" s="7"/>
      <c r="Q106" s="7"/>
      <c r="R106" s="7"/>
      <c r="S106" s="7"/>
      <c r="T106" s="7"/>
      <c r="U106" s="7"/>
      <c r="V106" s="7"/>
      <c r="W106" s="7"/>
      <c r="X106" s="7"/>
      <c r="Y106" s="7"/>
    </row>
    <row r="107" spans="1:25" ht="15">
      <c r="A107" s="81"/>
      <c r="B107" s="7"/>
      <c r="C107" s="7"/>
      <c r="D107" s="7"/>
      <c r="E107" s="7"/>
      <c r="F107" s="7"/>
      <c r="G107" s="7"/>
      <c r="H107" s="7"/>
      <c r="J107" s="7"/>
      <c r="K107" s="7"/>
      <c r="L107" s="7"/>
      <c r="M107" s="7"/>
      <c r="N107" s="7"/>
      <c r="O107" s="7"/>
      <c r="P107" s="7"/>
      <c r="Q107" s="7"/>
      <c r="R107" s="7"/>
      <c r="S107" s="7"/>
      <c r="T107" s="7"/>
      <c r="U107" s="7"/>
      <c r="V107" s="7"/>
      <c r="W107" s="7"/>
      <c r="X107" s="7"/>
      <c r="Y107" s="7"/>
    </row>
    <row r="108" spans="1:25" ht="15">
      <c r="A108" s="81"/>
      <c r="B108" s="7"/>
      <c r="C108" s="7"/>
      <c r="D108" s="7"/>
      <c r="E108" s="7"/>
      <c r="F108" s="7"/>
      <c r="G108" s="7"/>
      <c r="H108" s="7"/>
      <c r="J108" s="7"/>
      <c r="K108" s="7"/>
      <c r="L108" s="7"/>
      <c r="M108" s="7"/>
      <c r="N108" s="7"/>
      <c r="O108" s="7"/>
      <c r="P108" s="7"/>
      <c r="Q108" s="7"/>
      <c r="R108" s="7"/>
      <c r="S108" s="7"/>
      <c r="T108" s="7"/>
      <c r="U108" s="7"/>
      <c r="V108" s="7"/>
      <c r="W108" s="7"/>
      <c r="X108" s="7"/>
      <c r="Y108" s="7"/>
    </row>
    <row r="109" spans="1:25" ht="15">
      <c r="A109" s="81"/>
      <c r="B109" s="7"/>
      <c r="C109" s="7"/>
      <c r="D109" s="7"/>
      <c r="E109" s="7"/>
      <c r="F109" s="7"/>
      <c r="G109" s="7"/>
      <c r="H109" s="7"/>
      <c r="J109" s="7"/>
      <c r="K109" s="7"/>
      <c r="L109" s="7"/>
      <c r="M109" s="7"/>
      <c r="N109" s="7"/>
      <c r="O109" s="7"/>
      <c r="P109" s="7"/>
      <c r="Q109" s="7"/>
      <c r="R109" s="7"/>
      <c r="S109" s="7"/>
      <c r="T109" s="7"/>
      <c r="U109" s="7"/>
      <c r="V109" s="7"/>
      <c r="W109" s="7"/>
      <c r="X109" s="7"/>
      <c r="Y109" s="7"/>
    </row>
    <row r="110" spans="1:25" ht="15">
      <c r="A110" s="81"/>
      <c r="B110" s="7"/>
      <c r="C110" s="7"/>
      <c r="D110" s="7"/>
      <c r="E110" s="7"/>
      <c r="F110" s="7"/>
      <c r="G110" s="7"/>
      <c r="H110" s="7"/>
      <c r="J110" s="7"/>
      <c r="K110" s="7"/>
      <c r="L110" s="7"/>
      <c r="M110" s="7"/>
      <c r="N110" s="7"/>
      <c r="O110" s="7"/>
      <c r="P110" s="7"/>
      <c r="Q110" s="7"/>
      <c r="R110" s="7"/>
      <c r="S110" s="7"/>
      <c r="T110" s="7"/>
      <c r="U110" s="7"/>
      <c r="V110" s="7"/>
      <c r="W110" s="7"/>
      <c r="X110" s="7"/>
      <c r="Y110" s="7"/>
    </row>
    <row r="111" spans="1:25" ht="15">
      <c r="A111" s="81"/>
      <c r="B111" s="7"/>
      <c r="C111" s="7"/>
      <c r="D111" s="7"/>
      <c r="E111" s="7"/>
      <c r="F111" s="7"/>
      <c r="G111" s="7"/>
      <c r="H111" s="7"/>
      <c r="J111" s="7"/>
      <c r="K111" s="7"/>
      <c r="L111" s="7"/>
      <c r="M111" s="7"/>
      <c r="N111" s="7"/>
      <c r="O111" s="7"/>
      <c r="P111" s="7"/>
      <c r="Q111" s="7"/>
      <c r="R111" s="7"/>
      <c r="S111" s="7"/>
      <c r="T111" s="7"/>
      <c r="U111" s="7"/>
      <c r="V111" s="7"/>
      <c r="W111" s="7"/>
      <c r="X111" s="7"/>
      <c r="Y111" s="7"/>
    </row>
    <row r="112" spans="1:25" ht="15">
      <c r="A112" s="81"/>
      <c r="B112" s="7"/>
      <c r="C112" s="7"/>
      <c r="D112" s="7"/>
      <c r="E112" s="7"/>
      <c r="F112" s="7"/>
      <c r="G112" s="7"/>
      <c r="H112" s="7"/>
      <c r="J112" s="7"/>
      <c r="K112" s="7"/>
      <c r="L112" s="7"/>
      <c r="M112" s="7"/>
      <c r="N112" s="7"/>
      <c r="O112" s="7"/>
      <c r="P112" s="7"/>
      <c r="Q112" s="7"/>
      <c r="R112" s="7"/>
      <c r="S112" s="7"/>
      <c r="T112" s="7"/>
      <c r="U112" s="7"/>
      <c r="V112" s="7"/>
      <c r="W112" s="7"/>
      <c r="X112" s="7"/>
      <c r="Y112" s="7"/>
    </row>
    <row r="113" spans="1:25" ht="15">
      <c r="A113" s="81"/>
      <c r="B113" s="7"/>
      <c r="C113" s="7"/>
      <c r="D113" s="7"/>
      <c r="E113" s="7"/>
      <c r="F113" s="7"/>
      <c r="G113" s="7"/>
      <c r="H113" s="7"/>
      <c r="J113" s="7"/>
      <c r="K113" s="7"/>
      <c r="L113" s="7"/>
      <c r="M113" s="7"/>
      <c r="N113" s="7"/>
      <c r="O113" s="7"/>
      <c r="P113" s="7"/>
      <c r="Q113" s="7"/>
      <c r="R113" s="7"/>
      <c r="S113" s="7"/>
      <c r="T113" s="7"/>
      <c r="U113" s="7"/>
      <c r="V113" s="7"/>
      <c r="W113" s="7"/>
      <c r="X113" s="7"/>
      <c r="Y113" s="7"/>
    </row>
    <row r="114" spans="1:25" ht="15">
      <c r="A114" s="81"/>
      <c r="B114" s="7"/>
      <c r="C114" s="7"/>
      <c r="D114" s="7"/>
      <c r="E114" s="7"/>
      <c r="F114" s="7"/>
      <c r="G114" s="7"/>
      <c r="H114" s="7"/>
      <c r="J114" s="7"/>
      <c r="K114" s="7"/>
      <c r="L114" s="7"/>
      <c r="M114" s="7"/>
      <c r="N114" s="7"/>
      <c r="O114" s="7"/>
      <c r="P114" s="7"/>
      <c r="Q114" s="7"/>
      <c r="R114" s="7"/>
      <c r="S114" s="7"/>
      <c r="T114" s="7"/>
      <c r="U114" s="7"/>
      <c r="V114" s="7"/>
      <c r="W114" s="7"/>
      <c r="X114" s="7"/>
      <c r="Y114" s="7"/>
    </row>
    <row r="115" spans="1:25" ht="15">
      <c r="A115" s="81"/>
      <c r="B115" s="7"/>
      <c r="C115" s="7"/>
      <c r="D115" s="7"/>
      <c r="E115" s="7"/>
      <c r="F115" s="7"/>
      <c r="G115" s="7"/>
      <c r="H115" s="7"/>
      <c r="J115" s="7"/>
      <c r="K115" s="7"/>
      <c r="L115" s="7"/>
      <c r="M115" s="7"/>
      <c r="N115" s="7"/>
      <c r="O115" s="7"/>
      <c r="P115" s="7"/>
      <c r="Q115" s="7"/>
      <c r="R115" s="7"/>
      <c r="S115" s="7"/>
      <c r="T115" s="7"/>
      <c r="U115" s="7"/>
      <c r="V115" s="7"/>
      <c r="W115" s="7"/>
      <c r="X115" s="7"/>
      <c r="Y115" s="7"/>
    </row>
    <row r="116" spans="1:25" ht="15">
      <c r="A116" s="81"/>
      <c r="B116" s="7"/>
      <c r="C116" s="7"/>
      <c r="D116" s="7"/>
      <c r="E116" s="7"/>
      <c r="F116" s="7"/>
      <c r="G116" s="7"/>
      <c r="H116" s="7"/>
      <c r="J116" s="7"/>
      <c r="K116" s="7"/>
      <c r="L116" s="7"/>
      <c r="M116" s="7"/>
      <c r="N116" s="7"/>
      <c r="O116" s="7"/>
      <c r="P116" s="7"/>
      <c r="Q116" s="7"/>
      <c r="R116" s="7"/>
      <c r="S116" s="7"/>
      <c r="T116" s="7"/>
      <c r="U116" s="7"/>
      <c r="V116" s="7"/>
      <c r="W116" s="7"/>
      <c r="X116" s="7"/>
      <c r="Y116" s="7"/>
    </row>
    <row r="117" spans="1:25" ht="15">
      <c r="A117" s="81"/>
      <c r="B117" s="7"/>
      <c r="C117" s="7"/>
      <c r="D117" s="7"/>
      <c r="E117" s="7"/>
      <c r="F117" s="7"/>
      <c r="G117" s="7"/>
      <c r="H117" s="7"/>
      <c r="J117" s="7"/>
      <c r="K117" s="7"/>
      <c r="L117" s="7"/>
      <c r="M117" s="7"/>
      <c r="N117" s="7"/>
      <c r="O117" s="7"/>
      <c r="P117" s="7"/>
      <c r="Q117" s="7"/>
      <c r="R117" s="7"/>
      <c r="S117" s="7"/>
      <c r="T117" s="7"/>
      <c r="U117" s="7"/>
      <c r="V117" s="7"/>
      <c r="W117" s="7"/>
      <c r="X117" s="7"/>
      <c r="Y117" s="7"/>
    </row>
    <row r="118" spans="1:25" ht="15">
      <c r="A118" s="81"/>
      <c r="B118" s="7"/>
      <c r="C118" s="7"/>
      <c r="D118" s="7"/>
      <c r="E118" s="7"/>
      <c r="F118" s="7"/>
      <c r="G118" s="7"/>
      <c r="H118" s="7"/>
      <c r="J118" s="7"/>
      <c r="K118" s="7"/>
      <c r="L118" s="7"/>
      <c r="M118" s="7"/>
      <c r="N118" s="7"/>
      <c r="O118" s="7"/>
      <c r="P118" s="7"/>
      <c r="Q118" s="7"/>
      <c r="R118" s="7"/>
      <c r="S118" s="7"/>
      <c r="T118" s="7"/>
      <c r="U118" s="7"/>
      <c r="V118" s="7"/>
      <c r="W118" s="7"/>
      <c r="X118" s="7"/>
      <c r="Y118" s="7"/>
    </row>
    <row r="119" spans="1:25" ht="15">
      <c r="A119" s="81"/>
      <c r="B119" s="7"/>
      <c r="C119" s="7"/>
      <c r="D119" s="7"/>
      <c r="E119" s="7"/>
      <c r="F119" s="7"/>
      <c r="G119" s="7"/>
      <c r="H119" s="7"/>
      <c r="J119" s="7"/>
      <c r="K119" s="7"/>
      <c r="L119" s="7"/>
      <c r="M119" s="7"/>
      <c r="N119" s="7"/>
      <c r="O119" s="7"/>
      <c r="P119" s="7"/>
      <c r="Q119" s="7"/>
      <c r="R119" s="7"/>
      <c r="S119" s="7"/>
      <c r="T119" s="7"/>
      <c r="U119" s="7"/>
      <c r="V119" s="7"/>
      <c r="W119" s="7"/>
      <c r="X119" s="7"/>
      <c r="Y119" s="7"/>
    </row>
    <row r="120" spans="1:25" ht="15">
      <c r="A120" s="81"/>
      <c r="B120" s="7"/>
      <c r="C120" s="7"/>
      <c r="D120" s="7"/>
      <c r="E120" s="7"/>
      <c r="F120" s="7"/>
      <c r="G120" s="7"/>
      <c r="H120" s="7"/>
      <c r="J120" s="7"/>
      <c r="K120" s="7"/>
      <c r="L120" s="7"/>
      <c r="M120" s="7"/>
      <c r="N120" s="7"/>
      <c r="O120" s="7"/>
      <c r="P120" s="7"/>
      <c r="Q120" s="7"/>
      <c r="R120" s="7"/>
      <c r="S120" s="7"/>
      <c r="T120" s="7"/>
      <c r="U120" s="7"/>
      <c r="V120" s="7"/>
      <c r="W120" s="7"/>
      <c r="X120" s="7"/>
      <c r="Y120" s="7"/>
    </row>
    <row r="121" spans="1:25" ht="15">
      <c r="A121" s="81"/>
      <c r="B121" s="7"/>
      <c r="C121" s="7"/>
      <c r="D121" s="7"/>
      <c r="E121" s="7"/>
      <c r="F121" s="7"/>
      <c r="G121" s="7"/>
      <c r="H121" s="7"/>
      <c r="J121" s="7"/>
      <c r="K121" s="7"/>
      <c r="L121" s="7"/>
      <c r="M121" s="7"/>
      <c r="N121" s="7"/>
      <c r="O121" s="7"/>
      <c r="P121" s="7"/>
      <c r="Q121" s="7"/>
      <c r="R121" s="7"/>
      <c r="S121" s="7"/>
      <c r="T121" s="7"/>
      <c r="U121" s="7"/>
      <c r="V121" s="7"/>
      <c r="W121" s="7"/>
      <c r="X121" s="7"/>
      <c r="Y121" s="7"/>
    </row>
    <row r="122" spans="1:25" ht="15">
      <c r="A122" s="81"/>
      <c r="B122" s="7"/>
      <c r="C122" s="7"/>
      <c r="D122" s="7"/>
      <c r="E122" s="7"/>
      <c r="F122" s="7"/>
      <c r="G122" s="7"/>
      <c r="H122" s="7"/>
      <c r="J122" s="7"/>
      <c r="K122" s="7"/>
      <c r="L122" s="7"/>
      <c r="M122" s="7"/>
      <c r="N122" s="7"/>
      <c r="O122" s="7"/>
      <c r="P122" s="7"/>
      <c r="Q122" s="7"/>
      <c r="R122" s="7"/>
      <c r="S122" s="7"/>
      <c r="T122" s="7"/>
      <c r="U122" s="7"/>
      <c r="V122" s="7"/>
      <c r="W122" s="7"/>
      <c r="X122" s="7"/>
      <c r="Y122" s="7"/>
    </row>
    <row r="123" spans="1:25" ht="15">
      <c r="A123" s="81"/>
      <c r="B123" s="7"/>
      <c r="C123" s="7"/>
      <c r="D123" s="7"/>
      <c r="E123" s="7"/>
      <c r="F123" s="7"/>
      <c r="G123" s="7"/>
      <c r="H123" s="7"/>
      <c r="J123" s="7"/>
      <c r="K123" s="7"/>
      <c r="L123" s="7"/>
      <c r="M123" s="7"/>
      <c r="N123" s="7"/>
      <c r="O123" s="7"/>
      <c r="P123" s="7"/>
      <c r="Q123" s="7"/>
      <c r="R123" s="7"/>
      <c r="S123" s="7"/>
      <c r="T123" s="7"/>
      <c r="U123" s="7"/>
      <c r="V123" s="7"/>
      <c r="W123" s="7"/>
      <c r="X123" s="7"/>
      <c r="Y123" s="7"/>
    </row>
    <row r="124" spans="1:25" ht="15">
      <c r="A124" s="81"/>
      <c r="B124" s="7"/>
      <c r="C124" s="7"/>
      <c r="D124" s="7"/>
      <c r="E124" s="7"/>
      <c r="F124" s="7"/>
      <c r="G124" s="7"/>
      <c r="H124" s="7"/>
      <c r="J124" s="7"/>
      <c r="K124" s="7"/>
      <c r="L124" s="7"/>
      <c r="M124" s="7"/>
      <c r="N124" s="7"/>
      <c r="O124" s="7"/>
      <c r="P124" s="7"/>
      <c r="Q124" s="7"/>
      <c r="R124" s="7"/>
      <c r="S124" s="7"/>
      <c r="T124" s="7"/>
      <c r="U124" s="7"/>
      <c r="V124" s="7"/>
      <c r="W124" s="7"/>
      <c r="X124" s="7"/>
      <c r="Y124" s="7"/>
    </row>
    <row r="125" spans="1:25" ht="15">
      <c r="A125" s="81"/>
      <c r="B125" s="7"/>
      <c r="C125" s="7"/>
      <c r="D125" s="7"/>
      <c r="E125" s="7"/>
      <c r="F125" s="7"/>
      <c r="G125" s="7"/>
      <c r="H125" s="7"/>
      <c r="J125" s="7"/>
      <c r="K125" s="7"/>
      <c r="L125" s="7"/>
      <c r="M125" s="7"/>
      <c r="N125" s="7"/>
      <c r="O125" s="7"/>
      <c r="P125" s="7"/>
      <c r="Q125" s="7"/>
      <c r="R125" s="7"/>
      <c r="S125" s="7"/>
      <c r="T125" s="7"/>
      <c r="U125" s="7"/>
      <c r="V125" s="7"/>
      <c r="W125" s="7"/>
      <c r="X125" s="7"/>
      <c r="Y125" s="7"/>
    </row>
    <row r="126" spans="1:25" ht="15">
      <c r="A126" s="81"/>
      <c r="B126" s="7"/>
      <c r="C126" s="7"/>
      <c r="D126" s="7"/>
      <c r="E126" s="7"/>
      <c r="F126" s="7"/>
      <c r="G126" s="7"/>
      <c r="H126" s="7"/>
      <c r="J126" s="7"/>
      <c r="K126" s="7"/>
      <c r="L126" s="7"/>
      <c r="M126" s="7"/>
      <c r="N126" s="7"/>
      <c r="O126" s="7"/>
      <c r="P126" s="7"/>
      <c r="Q126" s="7"/>
      <c r="R126" s="7"/>
      <c r="S126" s="7"/>
      <c r="T126" s="7"/>
      <c r="U126" s="7"/>
      <c r="V126" s="7"/>
      <c r="W126" s="7"/>
      <c r="X126" s="7"/>
      <c r="Y126" s="7"/>
    </row>
    <row r="127" spans="1:25" ht="15">
      <c r="A127" s="81"/>
      <c r="B127" s="7"/>
      <c r="C127" s="7"/>
      <c r="D127" s="7"/>
      <c r="E127" s="7"/>
      <c r="F127" s="7"/>
      <c r="G127" s="7"/>
      <c r="H127" s="7"/>
      <c r="J127" s="7"/>
      <c r="K127" s="7"/>
      <c r="L127" s="7"/>
      <c r="M127" s="7"/>
      <c r="N127" s="7"/>
      <c r="O127" s="7"/>
      <c r="P127" s="7"/>
      <c r="Q127" s="7"/>
      <c r="R127" s="7"/>
      <c r="S127" s="7"/>
      <c r="T127" s="7"/>
      <c r="U127" s="7"/>
      <c r="V127" s="7"/>
      <c r="W127" s="7"/>
      <c r="X127" s="7"/>
      <c r="Y127" s="7"/>
    </row>
    <row r="128" spans="1:25" ht="15">
      <c r="A128" s="81"/>
      <c r="B128" s="7"/>
      <c r="C128" s="7"/>
      <c r="D128" s="7"/>
      <c r="E128" s="7"/>
      <c r="F128" s="7"/>
      <c r="G128" s="7"/>
      <c r="H128" s="7"/>
      <c r="J128" s="7"/>
      <c r="K128" s="7"/>
      <c r="L128" s="7"/>
      <c r="M128" s="7"/>
      <c r="N128" s="7"/>
      <c r="O128" s="7"/>
      <c r="P128" s="7"/>
      <c r="Q128" s="7"/>
      <c r="R128" s="7"/>
      <c r="S128" s="7"/>
      <c r="T128" s="7"/>
      <c r="U128" s="7"/>
      <c r="V128" s="7"/>
      <c r="W128" s="7"/>
      <c r="X128" s="7"/>
      <c r="Y128" s="7"/>
    </row>
    <row r="129" spans="1:25" ht="15">
      <c r="A129" s="81"/>
      <c r="B129" s="7"/>
      <c r="C129" s="7"/>
      <c r="D129" s="7"/>
      <c r="E129" s="7"/>
      <c r="F129" s="7"/>
      <c r="G129" s="7"/>
      <c r="H129" s="7"/>
      <c r="J129" s="7"/>
      <c r="K129" s="7"/>
      <c r="L129" s="7"/>
      <c r="M129" s="7"/>
      <c r="N129" s="7"/>
      <c r="O129" s="7"/>
      <c r="P129" s="7"/>
      <c r="Q129" s="7"/>
      <c r="R129" s="7"/>
      <c r="S129" s="7"/>
      <c r="T129" s="7"/>
      <c r="U129" s="7"/>
      <c r="V129" s="7"/>
      <c r="W129" s="7"/>
      <c r="X129" s="7"/>
      <c r="Y129" s="7"/>
    </row>
    <row r="130" spans="1:25" ht="15">
      <c r="A130" s="81"/>
      <c r="B130" s="7"/>
      <c r="C130" s="7"/>
      <c r="D130" s="7"/>
      <c r="E130" s="7"/>
      <c r="F130" s="7"/>
      <c r="G130" s="7"/>
      <c r="H130" s="7"/>
      <c r="J130" s="7"/>
      <c r="K130" s="7"/>
      <c r="L130" s="7"/>
      <c r="M130" s="7"/>
      <c r="N130" s="7"/>
      <c r="O130" s="7"/>
      <c r="P130" s="7"/>
      <c r="Q130" s="7"/>
      <c r="R130" s="7"/>
      <c r="S130" s="7"/>
      <c r="T130" s="7"/>
      <c r="U130" s="7"/>
      <c r="V130" s="7"/>
      <c r="W130" s="7"/>
      <c r="X130" s="7"/>
      <c r="Y130" s="7"/>
    </row>
    <row r="131" spans="1:25" ht="15">
      <c r="A131" s="81"/>
      <c r="B131" s="7"/>
      <c r="C131" s="7"/>
      <c r="D131" s="7"/>
      <c r="E131" s="7"/>
      <c r="F131" s="7"/>
      <c r="G131" s="7"/>
      <c r="H131" s="7"/>
      <c r="J131" s="7"/>
      <c r="K131" s="7"/>
      <c r="L131" s="7"/>
      <c r="M131" s="7"/>
      <c r="N131" s="7"/>
      <c r="O131" s="7"/>
      <c r="P131" s="7"/>
      <c r="Q131" s="7"/>
      <c r="R131" s="7"/>
      <c r="S131" s="7"/>
      <c r="T131" s="7"/>
      <c r="U131" s="7"/>
      <c r="V131" s="7"/>
      <c r="W131" s="7"/>
      <c r="X131" s="7"/>
      <c r="Y131" s="7"/>
    </row>
    <row r="132" spans="1:25" ht="15">
      <c r="A132" s="81"/>
      <c r="B132" s="7"/>
      <c r="C132" s="7"/>
      <c r="D132" s="7"/>
      <c r="E132" s="7"/>
      <c r="F132" s="7"/>
      <c r="G132" s="7"/>
      <c r="H132" s="7"/>
      <c r="J132" s="7"/>
      <c r="K132" s="7"/>
      <c r="L132" s="7"/>
      <c r="M132" s="7"/>
      <c r="N132" s="7"/>
      <c r="O132" s="7"/>
      <c r="P132" s="7"/>
      <c r="Q132" s="7"/>
      <c r="R132" s="7"/>
      <c r="S132" s="7"/>
      <c r="T132" s="7"/>
      <c r="U132" s="7"/>
      <c r="V132" s="7"/>
      <c r="W132" s="7"/>
      <c r="X132" s="7"/>
      <c r="Y132" s="7"/>
    </row>
    <row r="133" spans="1:25" ht="15">
      <c r="A133" s="81"/>
      <c r="B133" s="7"/>
      <c r="C133" s="7"/>
      <c r="D133" s="7"/>
      <c r="E133" s="7"/>
      <c r="F133" s="7"/>
      <c r="G133" s="7"/>
      <c r="H133" s="7"/>
      <c r="J133" s="7"/>
      <c r="K133" s="7"/>
      <c r="L133" s="7"/>
      <c r="M133" s="7"/>
      <c r="N133" s="7"/>
      <c r="O133" s="7"/>
      <c r="P133" s="7"/>
      <c r="Q133" s="7"/>
      <c r="R133" s="7"/>
      <c r="S133" s="7"/>
      <c r="T133" s="7"/>
      <c r="U133" s="7"/>
      <c r="V133" s="7"/>
      <c r="W133" s="7"/>
      <c r="X133" s="7"/>
      <c r="Y133" s="7"/>
    </row>
    <row r="134" spans="1:25" ht="15">
      <c r="A134" s="81"/>
      <c r="B134" s="7"/>
      <c r="C134" s="7"/>
      <c r="D134" s="7"/>
      <c r="E134" s="7"/>
      <c r="F134" s="7"/>
      <c r="G134" s="7"/>
      <c r="H134" s="7"/>
      <c r="J134" s="7"/>
      <c r="K134" s="7"/>
      <c r="L134" s="7"/>
      <c r="M134" s="7"/>
      <c r="N134" s="7"/>
      <c r="O134" s="7"/>
      <c r="P134" s="7"/>
      <c r="Q134" s="7"/>
      <c r="R134" s="7"/>
      <c r="S134" s="7"/>
      <c r="T134" s="7"/>
      <c r="U134" s="7"/>
      <c r="V134" s="7"/>
      <c r="W134" s="7"/>
      <c r="X134" s="7"/>
      <c r="Y134" s="7"/>
    </row>
    <row r="135" spans="1:25" ht="15">
      <c r="A135" s="81"/>
      <c r="B135" s="7"/>
      <c r="C135" s="7"/>
      <c r="D135" s="7"/>
      <c r="E135" s="7"/>
      <c r="F135" s="7"/>
      <c r="G135" s="7"/>
      <c r="H135" s="7"/>
      <c r="J135" s="7"/>
      <c r="K135" s="7"/>
      <c r="L135" s="7"/>
      <c r="M135" s="7"/>
      <c r="N135" s="7"/>
      <c r="O135" s="7"/>
      <c r="P135" s="7"/>
      <c r="Q135" s="7"/>
      <c r="R135" s="7"/>
      <c r="S135" s="7"/>
      <c r="T135" s="7"/>
      <c r="U135" s="7"/>
      <c r="V135" s="7"/>
      <c r="W135" s="7"/>
      <c r="X135" s="7"/>
      <c r="Y135" s="7"/>
    </row>
    <row r="136" spans="1:25" ht="15">
      <c r="A136" s="81"/>
      <c r="B136" s="7"/>
      <c r="C136" s="7"/>
      <c r="D136" s="7"/>
      <c r="E136" s="7"/>
      <c r="F136" s="7"/>
      <c r="G136" s="7"/>
      <c r="H136" s="7"/>
      <c r="J136" s="7"/>
      <c r="K136" s="7"/>
      <c r="L136" s="7"/>
      <c r="M136" s="7"/>
      <c r="N136" s="7"/>
      <c r="O136" s="7"/>
      <c r="P136" s="7"/>
      <c r="Q136" s="7"/>
      <c r="R136" s="7"/>
      <c r="S136" s="7"/>
      <c r="T136" s="7"/>
      <c r="U136" s="7"/>
      <c r="V136" s="7"/>
      <c r="W136" s="7"/>
      <c r="X136" s="7"/>
      <c r="Y136" s="7"/>
    </row>
    <row r="137" spans="1:25" ht="15">
      <c r="A137" s="81"/>
      <c r="B137" s="7"/>
      <c r="C137" s="7"/>
      <c r="D137" s="7"/>
      <c r="E137" s="7"/>
      <c r="F137" s="7"/>
      <c r="G137" s="7"/>
      <c r="H137" s="7"/>
      <c r="J137" s="7"/>
      <c r="K137" s="7"/>
      <c r="L137" s="7"/>
      <c r="M137" s="7"/>
      <c r="N137" s="7"/>
      <c r="O137" s="7"/>
      <c r="P137" s="7"/>
      <c r="Q137" s="7"/>
      <c r="R137" s="7"/>
      <c r="S137" s="7"/>
      <c r="T137" s="7"/>
      <c r="U137" s="7"/>
      <c r="V137" s="7"/>
      <c r="W137" s="7"/>
      <c r="X137" s="7"/>
      <c r="Y137" s="7"/>
    </row>
    <row r="138" spans="1:25" ht="15">
      <c r="A138" s="81"/>
      <c r="B138" s="7"/>
      <c r="C138" s="7"/>
      <c r="D138" s="7"/>
      <c r="E138" s="7"/>
      <c r="F138" s="7"/>
      <c r="G138" s="7"/>
      <c r="H138" s="7"/>
      <c r="J138" s="7"/>
      <c r="K138" s="7"/>
      <c r="L138" s="7"/>
      <c r="M138" s="7"/>
      <c r="N138" s="7"/>
      <c r="O138" s="7"/>
      <c r="P138" s="7"/>
      <c r="Q138" s="7"/>
      <c r="R138" s="7"/>
      <c r="S138" s="7"/>
      <c r="T138" s="7"/>
      <c r="U138" s="7"/>
      <c r="V138" s="7"/>
      <c r="W138" s="7"/>
      <c r="X138" s="7"/>
      <c r="Y138" s="7"/>
    </row>
    <row r="139" spans="1:25" ht="15">
      <c r="A139" s="81"/>
      <c r="B139" s="7"/>
      <c r="C139" s="7"/>
      <c r="D139" s="7"/>
      <c r="E139" s="7"/>
      <c r="F139" s="7"/>
      <c r="G139" s="7"/>
      <c r="H139" s="7"/>
      <c r="J139" s="7"/>
      <c r="K139" s="7"/>
      <c r="L139" s="7"/>
      <c r="M139" s="7"/>
      <c r="N139" s="7"/>
      <c r="O139" s="7"/>
      <c r="P139" s="7"/>
      <c r="Q139" s="7"/>
      <c r="R139" s="7"/>
      <c r="S139" s="7"/>
      <c r="T139" s="7"/>
      <c r="U139" s="7"/>
      <c r="V139" s="7"/>
      <c r="W139" s="7"/>
      <c r="X139" s="7"/>
      <c r="Y139" s="7"/>
    </row>
    <row r="140" spans="1:25" ht="15">
      <c r="A140" s="81"/>
      <c r="B140" s="7"/>
      <c r="C140" s="7"/>
      <c r="D140" s="7"/>
      <c r="E140" s="7"/>
      <c r="F140" s="7"/>
      <c r="G140" s="7"/>
      <c r="H140" s="7"/>
      <c r="J140" s="7"/>
      <c r="K140" s="7"/>
      <c r="L140" s="7"/>
      <c r="M140" s="7"/>
      <c r="N140" s="7"/>
      <c r="O140" s="7"/>
      <c r="P140" s="7"/>
      <c r="Q140" s="7"/>
      <c r="R140" s="7"/>
      <c r="S140" s="7"/>
      <c r="T140" s="7"/>
      <c r="U140" s="7"/>
      <c r="V140" s="7"/>
      <c r="W140" s="7"/>
      <c r="X140" s="7"/>
      <c r="Y140" s="7"/>
    </row>
    <row r="141" spans="1:25" ht="15">
      <c r="A141" s="81"/>
      <c r="B141" s="7"/>
      <c r="C141" s="7"/>
      <c r="D141" s="7"/>
      <c r="E141" s="7"/>
      <c r="F141" s="7"/>
      <c r="G141" s="7"/>
      <c r="H141" s="7"/>
      <c r="J141" s="7"/>
      <c r="K141" s="7"/>
      <c r="L141" s="7"/>
      <c r="M141" s="7"/>
      <c r="N141" s="7"/>
      <c r="O141" s="7"/>
      <c r="P141" s="7"/>
      <c r="Q141" s="7"/>
      <c r="R141" s="7"/>
      <c r="S141" s="7"/>
      <c r="T141" s="7"/>
      <c r="U141" s="7"/>
      <c r="V141" s="7"/>
      <c r="W141" s="7"/>
      <c r="X141" s="7"/>
      <c r="Y141" s="7"/>
    </row>
    <row r="142" spans="1:25" ht="15">
      <c r="A142" s="81"/>
      <c r="B142" s="7"/>
      <c r="C142" s="7"/>
      <c r="D142" s="7"/>
      <c r="E142" s="7"/>
      <c r="F142" s="7"/>
      <c r="G142" s="7"/>
      <c r="H142" s="7"/>
      <c r="J142" s="7"/>
      <c r="K142" s="7"/>
      <c r="L142" s="7"/>
      <c r="M142" s="7"/>
      <c r="N142" s="7"/>
      <c r="O142" s="7"/>
      <c r="P142" s="7"/>
      <c r="Q142" s="7"/>
      <c r="R142" s="7"/>
      <c r="S142" s="7"/>
      <c r="T142" s="7"/>
      <c r="U142" s="7"/>
      <c r="V142" s="7"/>
      <c r="W142" s="7"/>
      <c r="X142" s="7"/>
      <c r="Y142" s="7"/>
    </row>
    <row r="143" spans="1:25" ht="15">
      <c r="A143" s="81"/>
      <c r="B143" s="7"/>
      <c r="C143" s="7"/>
      <c r="D143" s="7"/>
      <c r="E143" s="7"/>
      <c r="F143" s="7"/>
      <c r="G143" s="7"/>
      <c r="H143" s="7"/>
      <c r="J143" s="7"/>
      <c r="K143" s="7"/>
      <c r="L143" s="7"/>
      <c r="M143" s="7"/>
      <c r="N143" s="7"/>
      <c r="O143" s="7"/>
      <c r="P143" s="7"/>
      <c r="Q143" s="7"/>
      <c r="R143" s="7"/>
      <c r="S143" s="7"/>
      <c r="T143" s="7"/>
      <c r="U143" s="7"/>
      <c r="V143" s="7"/>
      <c r="W143" s="7"/>
      <c r="X143" s="7"/>
      <c r="Y143" s="7"/>
    </row>
    <row r="144" spans="1:25" ht="15">
      <c r="A144" s="81"/>
      <c r="B144" s="7"/>
      <c r="C144" s="7"/>
      <c r="D144" s="7"/>
      <c r="E144" s="7"/>
      <c r="F144" s="7"/>
      <c r="G144" s="7"/>
      <c r="H144" s="7"/>
      <c r="J144" s="7"/>
      <c r="K144" s="7"/>
      <c r="L144" s="7"/>
      <c r="M144" s="7"/>
      <c r="N144" s="7"/>
      <c r="O144" s="7"/>
      <c r="P144" s="7"/>
      <c r="Q144" s="7"/>
      <c r="R144" s="7"/>
      <c r="S144" s="7"/>
      <c r="T144" s="7"/>
      <c r="U144" s="7"/>
      <c r="V144" s="7"/>
      <c r="W144" s="7"/>
      <c r="X144" s="7"/>
      <c r="Y144" s="7"/>
    </row>
    <row r="145" spans="1:25" ht="15">
      <c r="A145" s="81"/>
      <c r="B145" s="7"/>
      <c r="C145" s="7"/>
      <c r="D145" s="7"/>
      <c r="E145" s="7"/>
      <c r="F145" s="7"/>
      <c r="G145" s="7"/>
      <c r="H145" s="7"/>
      <c r="J145" s="7"/>
      <c r="K145" s="7"/>
      <c r="L145" s="7"/>
      <c r="M145" s="7"/>
      <c r="N145" s="7"/>
      <c r="O145" s="7"/>
      <c r="P145" s="7"/>
      <c r="Q145" s="7"/>
      <c r="R145" s="7"/>
      <c r="S145" s="7"/>
      <c r="T145" s="7"/>
      <c r="U145" s="7"/>
      <c r="V145" s="7"/>
      <c r="W145" s="7"/>
      <c r="X145" s="7"/>
      <c r="Y145" s="7"/>
    </row>
    <row r="146" spans="1:25" ht="15">
      <c r="A146" s="81"/>
      <c r="B146" s="7"/>
      <c r="C146" s="7"/>
      <c r="D146" s="7"/>
      <c r="E146" s="7"/>
      <c r="F146" s="7"/>
      <c r="G146" s="7"/>
      <c r="H146" s="7"/>
      <c r="J146" s="7"/>
      <c r="K146" s="7"/>
      <c r="L146" s="7"/>
      <c r="M146" s="7"/>
      <c r="N146" s="7"/>
      <c r="O146" s="7"/>
      <c r="P146" s="7"/>
      <c r="Q146" s="7"/>
      <c r="R146" s="7"/>
      <c r="S146" s="7"/>
      <c r="T146" s="7"/>
      <c r="U146" s="7"/>
      <c r="V146" s="7"/>
      <c r="W146" s="7"/>
      <c r="X146" s="7"/>
      <c r="Y146" s="7"/>
    </row>
    <row r="147" spans="1:25" ht="15">
      <c r="A147" s="81"/>
      <c r="B147" s="7"/>
      <c r="C147" s="7"/>
      <c r="D147" s="7"/>
      <c r="E147" s="7"/>
      <c r="F147" s="7"/>
      <c r="G147" s="7"/>
      <c r="H147" s="7"/>
      <c r="J147" s="7"/>
      <c r="K147" s="7"/>
      <c r="L147" s="7"/>
      <c r="M147" s="7"/>
      <c r="N147" s="7"/>
      <c r="O147" s="7"/>
      <c r="P147" s="7"/>
      <c r="Q147" s="7"/>
      <c r="R147" s="7"/>
      <c r="S147" s="7"/>
      <c r="T147" s="7"/>
      <c r="U147" s="7"/>
      <c r="V147" s="7"/>
      <c r="W147" s="7"/>
      <c r="X147" s="7"/>
      <c r="Y147" s="7"/>
    </row>
    <row r="148" spans="1:25" ht="15">
      <c r="A148" s="81"/>
      <c r="B148" s="7"/>
      <c r="C148" s="7"/>
      <c r="D148" s="7"/>
      <c r="E148" s="7"/>
      <c r="F148" s="7"/>
      <c r="G148" s="7"/>
      <c r="H148" s="7"/>
      <c r="J148" s="7"/>
      <c r="K148" s="7"/>
      <c r="L148" s="7"/>
      <c r="M148" s="7"/>
      <c r="N148" s="7"/>
      <c r="O148" s="7"/>
      <c r="P148" s="7"/>
      <c r="Q148" s="7"/>
      <c r="R148" s="7"/>
      <c r="S148" s="7"/>
      <c r="T148" s="7"/>
      <c r="U148" s="7"/>
      <c r="V148" s="7"/>
      <c r="W148" s="7"/>
      <c r="X148" s="7"/>
      <c r="Y148" s="7"/>
    </row>
    <row r="149" spans="1:25" ht="15">
      <c r="A149" s="81"/>
      <c r="B149" s="7"/>
      <c r="C149" s="7"/>
      <c r="D149" s="7"/>
      <c r="E149" s="7"/>
      <c r="F149" s="7"/>
      <c r="G149" s="7"/>
      <c r="H149" s="7"/>
      <c r="J149" s="7"/>
      <c r="K149" s="7"/>
      <c r="L149" s="7"/>
      <c r="M149" s="7"/>
      <c r="N149" s="7"/>
      <c r="O149" s="7"/>
      <c r="P149" s="7"/>
      <c r="Q149" s="7"/>
      <c r="R149" s="7"/>
      <c r="S149" s="7"/>
      <c r="T149" s="7"/>
      <c r="U149" s="7"/>
      <c r="V149" s="7"/>
      <c r="W149" s="7"/>
      <c r="X149" s="7"/>
      <c r="Y149" s="7"/>
    </row>
    <row r="150" spans="1:25" ht="15">
      <c r="A150" s="81"/>
      <c r="B150" s="7"/>
      <c r="C150" s="7"/>
      <c r="D150" s="7"/>
      <c r="E150" s="7"/>
      <c r="F150" s="7"/>
      <c r="G150" s="7"/>
      <c r="H150" s="7"/>
      <c r="J150" s="7"/>
      <c r="K150" s="7"/>
      <c r="L150" s="7"/>
      <c r="M150" s="7"/>
      <c r="N150" s="7"/>
      <c r="O150" s="7"/>
      <c r="P150" s="7"/>
      <c r="Q150" s="7"/>
      <c r="R150" s="7"/>
      <c r="S150" s="7"/>
      <c r="T150" s="7"/>
      <c r="U150" s="7"/>
      <c r="V150" s="7"/>
      <c r="W150" s="7"/>
      <c r="X150" s="7"/>
      <c r="Y150" s="7"/>
    </row>
    <row r="151" spans="1:25" ht="15">
      <c r="A151" s="81"/>
      <c r="B151" s="7"/>
      <c r="C151" s="7"/>
      <c r="D151" s="7"/>
      <c r="E151" s="7"/>
      <c r="F151" s="7"/>
      <c r="G151" s="7"/>
      <c r="H151" s="7"/>
      <c r="J151" s="7"/>
      <c r="K151" s="7"/>
      <c r="L151" s="7"/>
      <c r="M151" s="7"/>
      <c r="N151" s="7"/>
      <c r="O151" s="7"/>
      <c r="P151" s="7"/>
      <c r="Q151" s="7"/>
      <c r="R151" s="7"/>
      <c r="S151" s="7"/>
      <c r="T151" s="7"/>
      <c r="U151" s="7"/>
      <c r="V151" s="7"/>
      <c r="W151" s="7"/>
      <c r="X151" s="7"/>
      <c r="Y151" s="7"/>
    </row>
    <row r="152" spans="1:25" ht="15">
      <c r="A152" s="81"/>
      <c r="B152" s="7"/>
      <c r="C152" s="7"/>
      <c r="D152" s="7"/>
      <c r="E152" s="7"/>
      <c r="F152" s="7"/>
      <c r="G152" s="7"/>
      <c r="H152" s="7"/>
      <c r="J152" s="7"/>
      <c r="K152" s="7"/>
      <c r="L152" s="7"/>
      <c r="M152" s="7"/>
      <c r="N152" s="7"/>
      <c r="O152" s="7"/>
      <c r="P152" s="7"/>
      <c r="Q152" s="7"/>
      <c r="R152" s="7"/>
      <c r="S152" s="7"/>
      <c r="T152" s="7"/>
      <c r="U152" s="7"/>
      <c r="V152" s="7"/>
      <c r="W152" s="7"/>
      <c r="X152" s="7"/>
      <c r="Y152" s="7"/>
    </row>
    <row r="153" spans="1:25" ht="15">
      <c r="A153" s="81"/>
      <c r="B153" s="7"/>
      <c r="C153" s="7"/>
      <c r="D153" s="7"/>
      <c r="E153" s="7"/>
      <c r="F153" s="7"/>
      <c r="G153" s="7"/>
      <c r="H153" s="7"/>
      <c r="J153" s="7"/>
      <c r="K153" s="7"/>
      <c r="L153" s="7"/>
      <c r="M153" s="7"/>
      <c r="N153" s="7"/>
      <c r="O153" s="7"/>
      <c r="P153" s="7"/>
      <c r="Q153" s="7"/>
      <c r="R153" s="7"/>
      <c r="S153" s="7"/>
      <c r="T153" s="7"/>
      <c r="U153" s="7"/>
      <c r="V153" s="7"/>
      <c r="W153" s="7"/>
      <c r="X153" s="7"/>
      <c r="Y153" s="7"/>
    </row>
    <row r="154" spans="1:25" ht="15">
      <c r="A154" s="81"/>
      <c r="B154" s="7"/>
      <c r="C154" s="7"/>
      <c r="D154" s="7"/>
      <c r="E154" s="7"/>
      <c r="F154" s="7"/>
      <c r="G154" s="7"/>
      <c r="H154" s="7"/>
      <c r="J154" s="7"/>
      <c r="K154" s="7"/>
      <c r="L154" s="7"/>
      <c r="M154" s="7"/>
      <c r="N154" s="7"/>
      <c r="O154" s="7"/>
      <c r="P154" s="7"/>
      <c r="Q154" s="7"/>
      <c r="R154" s="7"/>
      <c r="S154" s="7"/>
      <c r="T154" s="7"/>
      <c r="U154" s="7"/>
      <c r="V154" s="7"/>
      <c r="W154" s="7"/>
      <c r="X154" s="7"/>
      <c r="Y154" s="7"/>
    </row>
    <row r="155" spans="1:25" ht="15">
      <c r="A155" s="81"/>
      <c r="B155" s="7"/>
      <c r="C155" s="7"/>
      <c r="D155" s="7"/>
      <c r="E155" s="7"/>
      <c r="F155" s="7"/>
      <c r="G155" s="7"/>
      <c r="H155" s="7"/>
      <c r="J155" s="7"/>
      <c r="K155" s="7"/>
      <c r="L155" s="7"/>
      <c r="M155" s="7"/>
      <c r="N155" s="7"/>
      <c r="O155" s="7"/>
      <c r="P155" s="7"/>
      <c r="Q155" s="7"/>
      <c r="R155" s="7"/>
      <c r="S155" s="7"/>
      <c r="T155" s="7"/>
      <c r="U155" s="7"/>
      <c r="V155" s="7"/>
      <c r="W155" s="7"/>
      <c r="X155" s="7"/>
      <c r="Y155" s="7"/>
    </row>
    <row r="156" spans="1:25" ht="15">
      <c r="A156" s="81"/>
      <c r="B156" s="7"/>
      <c r="C156" s="7"/>
      <c r="D156" s="7"/>
      <c r="E156" s="7"/>
      <c r="F156" s="7"/>
      <c r="G156" s="7"/>
      <c r="H156" s="7"/>
      <c r="J156" s="7"/>
      <c r="K156" s="7"/>
      <c r="L156" s="7"/>
      <c r="M156" s="7"/>
      <c r="N156" s="7"/>
      <c r="O156" s="7"/>
      <c r="P156" s="7"/>
      <c r="Q156" s="7"/>
      <c r="R156" s="7"/>
      <c r="S156" s="7"/>
      <c r="T156" s="7"/>
      <c r="U156" s="7"/>
      <c r="V156" s="7"/>
      <c r="W156" s="7"/>
      <c r="X156" s="7"/>
      <c r="Y156" s="7"/>
    </row>
    <row r="157" spans="1:25" ht="15">
      <c r="A157" s="81"/>
      <c r="B157" s="7"/>
      <c r="C157" s="7"/>
      <c r="D157" s="7"/>
      <c r="E157" s="7"/>
      <c r="F157" s="7"/>
      <c r="G157" s="7"/>
      <c r="H157" s="7"/>
      <c r="J157" s="7"/>
      <c r="K157" s="7"/>
      <c r="L157" s="7"/>
      <c r="M157" s="7"/>
      <c r="N157" s="7"/>
      <c r="O157" s="7"/>
      <c r="P157" s="7"/>
      <c r="Q157" s="7"/>
      <c r="R157" s="7"/>
      <c r="S157" s="7"/>
      <c r="T157" s="7"/>
      <c r="U157" s="7"/>
      <c r="V157" s="7"/>
      <c r="W157" s="7"/>
      <c r="X157" s="7"/>
      <c r="Y157" s="7"/>
    </row>
    <row r="158" spans="1:25" ht="15">
      <c r="A158" s="81"/>
      <c r="B158" s="7"/>
      <c r="C158" s="7"/>
      <c r="D158" s="7"/>
      <c r="E158" s="7"/>
      <c r="F158" s="7"/>
      <c r="G158" s="7"/>
      <c r="H158" s="7"/>
      <c r="J158" s="7"/>
      <c r="K158" s="7"/>
      <c r="L158" s="7"/>
      <c r="M158" s="7"/>
      <c r="N158" s="7"/>
      <c r="O158" s="7"/>
      <c r="P158" s="7"/>
      <c r="Q158" s="7"/>
      <c r="R158" s="7"/>
      <c r="S158" s="7"/>
      <c r="T158" s="7"/>
      <c r="U158" s="7"/>
      <c r="V158" s="7"/>
      <c r="W158" s="7"/>
      <c r="X158" s="7"/>
      <c r="Y158" s="7"/>
    </row>
    <row r="159" spans="1:25" ht="15">
      <c r="A159" s="81"/>
      <c r="B159" s="7"/>
      <c r="C159" s="7"/>
      <c r="D159" s="7"/>
      <c r="E159" s="7"/>
      <c r="F159" s="7"/>
      <c r="G159" s="7"/>
      <c r="H159" s="7"/>
      <c r="J159" s="7"/>
      <c r="K159" s="7"/>
      <c r="L159" s="7"/>
      <c r="M159" s="7"/>
      <c r="N159" s="7"/>
      <c r="O159" s="7"/>
      <c r="P159" s="7"/>
      <c r="Q159" s="7"/>
      <c r="R159" s="7"/>
      <c r="S159" s="7"/>
      <c r="T159" s="7"/>
      <c r="U159" s="7"/>
      <c r="V159" s="7"/>
      <c r="W159" s="7"/>
      <c r="X159" s="7"/>
      <c r="Y159" s="7"/>
    </row>
    <row r="160" spans="1:25" ht="15">
      <c r="A160" s="81"/>
      <c r="B160" s="7"/>
      <c r="C160" s="7"/>
      <c r="D160" s="7"/>
      <c r="E160" s="7"/>
      <c r="F160" s="7"/>
      <c r="G160" s="7"/>
      <c r="H160" s="7"/>
      <c r="J160" s="7"/>
      <c r="K160" s="7"/>
      <c r="L160" s="7"/>
      <c r="M160" s="7"/>
      <c r="N160" s="7"/>
      <c r="O160" s="7"/>
      <c r="P160" s="7"/>
      <c r="Q160" s="7"/>
      <c r="R160" s="7"/>
      <c r="S160" s="7"/>
      <c r="T160" s="7"/>
      <c r="U160" s="7"/>
      <c r="V160" s="7"/>
      <c r="W160" s="7"/>
      <c r="X160" s="7"/>
      <c r="Y160" s="7"/>
    </row>
    <row r="161" spans="1:25" ht="15">
      <c r="A161" s="81"/>
      <c r="B161" s="7"/>
      <c r="C161" s="7"/>
      <c r="D161" s="7"/>
      <c r="E161" s="7"/>
      <c r="F161" s="7"/>
      <c r="G161" s="7"/>
      <c r="H161" s="7"/>
      <c r="J161" s="7"/>
      <c r="K161" s="7"/>
      <c r="L161" s="7"/>
      <c r="M161" s="7"/>
      <c r="N161" s="7"/>
      <c r="O161" s="7"/>
      <c r="P161" s="7"/>
      <c r="Q161" s="7"/>
      <c r="R161" s="7"/>
      <c r="S161" s="7"/>
      <c r="T161" s="7"/>
      <c r="U161" s="7"/>
      <c r="V161" s="7"/>
      <c r="W161" s="7"/>
      <c r="X161" s="7"/>
      <c r="Y161" s="7"/>
    </row>
    <row r="162" spans="1:25" ht="15">
      <c r="A162" s="81"/>
      <c r="B162" s="7"/>
      <c r="C162" s="7"/>
      <c r="D162" s="7"/>
      <c r="E162" s="7"/>
      <c r="F162" s="7"/>
      <c r="G162" s="7"/>
      <c r="H162" s="7"/>
      <c r="J162" s="7"/>
      <c r="K162" s="7"/>
      <c r="L162" s="7"/>
      <c r="M162" s="7"/>
      <c r="N162" s="7"/>
      <c r="O162" s="7"/>
      <c r="P162" s="7"/>
      <c r="Q162" s="7"/>
      <c r="R162" s="7"/>
      <c r="S162" s="7"/>
      <c r="T162" s="7"/>
      <c r="U162" s="7"/>
      <c r="V162" s="7"/>
      <c r="W162" s="7"/>
      <c r="X162" s="7"/>
      <c r="Y162" s="7"/>
    </row>
    <row r="163" spans="1:25" ht="15">
      <c r="A163" s="81"/>
      <c r="B163" s="7"/>
      <c r="C163" s="7"/>
      <c r="D163" s="7"/>
      <c r="E163" s="7"/>
      <c r="F163" s="7"/>
      <c r="G163" s="7"/>
      <c r="H163" s="7"/>
      <c r="J163" s="7"/>
      <c r="K163" s="7"/>
      <c r="L163" s="7"/>
      <c r="M163" s="7"/>
      <c r="N163" s="7"/>
      <c r="O163" s="7"/>
      <c r="P163" s="7"/>
      <c r="Q163" s="7"/>
      <c r="R163" s="7"/>
      <c r="S163" s="7"/>
      <c r="T163" s="7"/>
      <c r="U163" s="7"/>
      <c r="V163" s="7"/>
      <c r="W163" s="7"/>
      <c r="X163" s="7"/>
      <c r="Y163" s="7"/>
    </row>
    <row r="164" spans="1:25" ht="15">
      <c r="A164" s="81"/>
      <c r="B164" s="7"/>
      <c r="C164" s="7"/>
      <c r="D164" s="7"/>
      <c r="E164" s="7"/>
      <c r="F164" s="7"/>
      <c r="G164" s="7"/>
      <c r="H164" s="7"/>
      <c r="J164" s="7"/>
      <c r="K164" s="7"/>
      <c r="L164" s="7"/>
      <c r="M164" s="7"/>
      <c r="N164" s="7"/>
      <c r="O164" s="7"/>
      <c r="P164" s="7"/>
      <c r="Q164" s="7"/>
      <c r="R164" s="7"/>
      <c r="S164" s="7"/>
      <c r="T164" s="7"/>
      <c r="U164" s="7"/>
      <c r="V164" s="7"/>
      <c r="W164" s="7"/>
      <c r="X164" s="7"/>
      <c r="Y164" s="7"/>
    </row>
    <row r="165" spans="1:25" ht="15">
      <c r="A165" s="81"/>
      <c r="B165" s="7"/>
      <c r="C165" s="7"/>
      <c r="D165" s="7"/>
      <c r="E165" s="7"/>
      <c r="F165" s="7"/>
      <c r="G165" s="7"/>
      <c r="H165" s="7"/>
      <c r="J165" s="7"/>
      <c r="K165" s="7"/>
      <c r="L165" s="7"/>
      <c r="M165" s="7"/>
      <c r="N165" s="7"/>
      <c r="O165" s="7"/>
      <c r="P165" s="7"/>
      <c r="Q165" s="7"/>
      <c r="R165" s="7"/>
      <c r="S165" s="7"/>
      <c r="T165" s="7"/>
      <c r="U165" s="7"/>
      <c r="V165" s="7"/>
      <c r="W165" s="7"/>
      <c r="X165" s="7"/>
      <c r="Y165" s="7"/>
    </row>
    <row r="166" spans="1:25" ht="15">
      <c r="A166" s="81"/>
      <c r="B166" s="7"/>
      <c r="C166" s="7"/>
      <c r="D166" s="7"/>
      <c r="E166" s="7"/>
      <c r="F166" s="7"/>
      <c r="G166" s="7"/>
      <c r="H166" s="7"/>
      <c r="J166" s="7"/>
      <c r="K166" s="7"/>
      <c r="L166" s="7"/>
      <c r="M166" s="7"/>
      <c r="N166" s="7"/>
      <c r="O166" s="7"/>
      <c r="P166" s="7"/>
      <c r="Q166" s="7"/>
      <c r="R166" s="7"/>
      <c r="S166" s="7"/>
      <c r="T166" s="7"/>
      <c r="U166" s="7"/>
      <c r="V166" s="7"/>
      <c r="W166" s="7"/>
      <c r="X166" s="7"/>
      <c r="Y166" s="7"/>
    </row>
    <row r="167" spans="1:25" ht="15">
      <c r="A167" s="81"/>
      <c r="B167" s="7"/>
      <c r="C167" s="7"/>
      <c r="D167" s="7"/>
      <c r="E167" s="7"/>
      <c r="F167" s="7"/>
      <c r="G167" s="7"/>
      <c r="H167" s="7"/>
      <c r="J167" s="7"/>
      <c r="K167" s="7"/>
      <c r="L167" s="7"/>
      <c r="M167" s="7"/>
      <c r="N167" s="7"/>
      <c r="O167" s="7"/>
      <c r="P167" s="7"/>
      <c r="Q167" s="7"/>
      <c r="R167" s="7"/>
      <c r="S167" s="7"/>
      <c r="T167" s="7"/>
      <c r="U167" s="7"/>
      <c r="V167" s="7"/>
      <c r="W167" s="7"/>
      <c r="X167" s="7"/>
      <c r="Y167" s="7"/>
    </row>
    <row r="168" spans="1:25" ht="15">
      <c r="A168" s="81"/>
      <c r="B168" s="7"/>
      <c r="C168" s="7"/>
      <c r="D168" s="7"/>
      <c r="E168" s="7"/>
      <c r="F168" s="7"/>
      <c r="G168" s="7"/>
      <c r="H168" s="7"/>
      <c r="J168" s="7"/>
      <c r="K168" s="7"/>
      <c r="L168" s="7"/>
      <c r="M168" s="7"/>
      <c r="N168" s="7"/>
      <c r="O168" s="7"/>
      <c r="P168" s="7"/>
      <c r="Q168" s="7"/>
      <c r="R168" s="7"/>
      <c r="S168" s="7"/>
      <c r="T168" s="7"/>
      <c r="U168" s="7"/>
      <c r="V168" s="7"/>
      <c r="W168" s="7"/>
      <c r="X168" s="7"/>
      <c r="Y168" s="7"/>
    </row>
    <row r="169" spans="1:25" ht="15">
      <c r="A169" s="81"/>
      <c r="B169" s="7"/>
      <c r="C169" s="7"/>
      <c r="D169" s="7"/>
      <c r="E169" s="7"/>
      <c r="F169" s="7"/>
      <c r="G169" s="7"/>
      <c r="H169" s="7"/>
      <c r="J169" s="7"/>
      <c r="K169" s="7"/>
      <c r="L169" s="7"/>
      <c r="M169" s="7"/>
      <c r="N169" s="7"/>
      <c r="O169" s="7"/>
      <c r="P169" s="7"/>
      <c r="Q169" s="7"/>
      <c r="R169" s="7"/>
      <c r="S169" s="7"/>
      <c r="T169" s="7"/>
      <c r="U169" s="7"/>
      <c r="V169" s="7"/>
      <c r="W169" s="7"/>
      <c r="X169" s="7"/>
      <c r="Y169" s="7"/>
    </row>
    <row r="170" spans="1:25" ht="15">
      <c r="A170" s="81"/>
      <c r="B170" s="7"/>
      <c r="C170" s="7"/>
      <c r="D170" s="7"/>
      <c r="E170" s="7"/>
      <c r="F170" s="7"/>
      <c r="G170" s="7"/>
      <c r="H170" s="7"/>
      <c r="J170" s="7"/>
      <c r="K170" s="7"/>
      <c r="L170" s="7"/>
      <c r="M170" s="7"/>
      <c r="N170" s="7"/>
      <c r="O170" s="7"/>
      <c r="P170" s="7"/>
      <c r="Q170" s="7"/>
      <c r="R170" s="7"/>
      <c r="S170" s="7"/>
      <c r="T170" s="7"/>
      <c r="U170" s="7"/>
      <c r="V170" s="7"/>
      <c r="W170" s="7"/>
      <c r="X170" s="7"/>
      <c r="Y170" s="7"/>
    </row>
    <row r="171" spans="1:25" ht="15">
      <c r="A171" s="81"/>
      <c r="B171" s="7"/>
      <c r="C171" s="7"/>
      <c r="D171" s="7"/>
      <c r="E171" s="7"/>
      <c r="F171" s="7"/>
      <c r="G171" s="7"/>
      <c r="H171" s="7"/>
      <c r="J171" s="7"/>
      <c r="K171" s="7"/>
      <c r="L171" s="7"/>
      <c r="M171" s="7"/>
      <c r="N171" s="7"/>
      <c r="O171" s="7"/>
      <c r="P171" s="7"/>
      <c r="Q171" s="7"/>
      <c r="R171" s="7"/>
      <c r="S171" s="7"/>
      <c r="T171" s="7"/>
      <c r="U171" s="7"/>
      <c r="V171" s="7"/>
      <c r="W171" s="7"/>
      <c r="X171" s="7"/>
      <c r="Y171" s="7"/>
    </row>
    <row r="172" spans="1:25" ht="15">
      <c r="A172" s="81"/>
      <c r="B172" s="7"/>
      <c r="C172" s="7"/>
      <c r="D172" s="7"/>
      <c r="E172" s="7"/>
      <c r="F172" s="7"/>
      <c r="G172" s="7"/>
      <c r="H172" s="7"/>
      <c r="J172" s="7"/>
      <c r="K172" s="7"/>
      <c r="L172" s="7"/>
      <c r="M172" s="7"/>
      <c r="N172" s="7"/>
      <c r="O172" s="7"/>
      <c r="P172" s="7"/>
      <c r="Q172" s="7"/>
      <c r="R172" s="7"/>
      <c r="S172" s="7"/>
      <c r="T172" s="7"/>
      <c r="U172" s="7"/>
      <c r="V172" s="7"/>
      <c r="W172" s="7"/>
      <c r="X172" s="7"/>
      <c r="Y172" s="7"/>
    </row>
    <row r="173" spans="1:25" ht="15">
      <c r="A173" s="81"/>
      <c r="B173" s="7"/>
      <c r="C173" s="7"/>
      <c r="D173" s="7"/>
      <c r="E173" s="7"/>
      <c r="F173" s="7"/>
      <c r="G173" s="7"/>
      <c r="H173" s="7"/>
      <c r="J173" s="7"/>
      <c r="K173" s="7"/>
      <c r="L173" s="7"/>
      <c r="M173" s="7"/>
      <c r="N173" s="7"/>
      <c r="O173" s="7"/>
      <c r="P173" s="7"/>
      <c r="Q173" s="7"/>
      <c r="R173" s="7"/>
      <c r="S173" s="7"/>
      <c r="T173" s="7"/>
      <c r="U173" s="7"/>
      <c r="V173" s="7"/>
      <c r="W173" s="7"/>
      <c r="X173" s="7"/>
      <c r="Y173" s="7"/>
    </row>
    <row r="174" spans="1:25" ht="15">
      <c r="A174" s="81"/>
      <c r="B174" s="7"/>
      <c r="C174" s="7"/>
      <c r="D174" s="7"/>
      <c r="E174" s="7"/>
      <c r="F174" s="7"/>
      <c r="G174" s="7"/>
      <c r="H174" s="7"/>
      <c r="J174" s="7"/>
      <c r="K174" s="7"/>
      <c r="L174" s="7"/>
      <c r="M174" s="7"/>
      <c r="N174" s="7"/>
      <c r="O174" s="7"/>
      <c r="P174" s="7"/>
      <c r="Q174" s="7"/>
      <c r="R174" s="7"/>
      <c r="S174" s="7"/>
      <c r="T174" s="7"/>
      <c r="U174" s="7"/>
      <c r="V174" s="7"/>
      <c r="W174" s="7"/>
      <c r="X174" s="7"/>
      <c r="Y174" s="7"/>
    </row>
    <row r="175" spans="1:25" ht="15">
      <c r="A175" s="81"/>
      <c r="B175" s="7"/>
      <c r="C175" s="7"/>
      <c r="D175" s="7"/>
      <c r="E175" s="7"/>
      <c r="F175" s="7"/>
      <c r="G175" s="7"/>
      <c r="H175" s="7"/>
      <c r="J175" s="7"/>
      <c r="K175" s="7"/>
      <c r="L175" s="7"/>
      <c r="M175" s="7"/>
      <c r="N175" s="7"/>
      <c r="O175" s="7"/>
      <c r="P175" s="7"/>
      <c r="Q175" s="7"/>
      <c r="R175" s="7"/>
      <c r="S175" s="7"/>
      <c r="T175" s="7"/>
      <c r="U175" s="7"/>
      <c r="V175" s="7"/>
      <c r="W175" s="7"/>
      <c r="X175" s="7"/>
      <c r="Y175" s="7"/>
    </row>
    <row r="176" spans="1:25" ht="15">
      <c r="A176" s="81"/>
      <c r="B176" s="7"/>
      <c r="C176" s="7"/>
      <c r="D176" s="7"/>
      <c r="E176" s="7"/>
      <c r="F176" s="7"/>
      <c r="G176" s="7"/>
      <c r="H176" s="7"/>
      <c r="J176" s="7"/>
      <c r="K176" s="7"/>
      <c r="L176" s="7"/>
      <c r="M176" s="7"/>
      <c r="N176" s="7"/>
      <c r="O176" s="7"/>
      <c r="P176" s="7"/>
      <c r="Q176" s="7"/>
      <c r="R176" s="7"/>
      <c r="S176" s="7"/>
      <c r="T176" s="7"/>
      <c r="U176" s="7"/>
      <c r="V176" s="7"/>
      <c r="W176" s="7"/>
      <c r="X176" s="7"/>
      <c r="Y176" s="7"/>
    </row>
    <row r="177" spans="1:25" ht="15">
      <c r="A177" s="81"/>
      <c r="B177" s="7"/>
      <c r="C177" s="7"/>
      <c r="D177" s="7"/>
      <c r="E177" s="7"/>
      <c r="F177" s="7"/>
      <c r="G177" s="7"/>
      <c r="H177" s="7"/>
      <c r="J177" s="7"/>
      <c r="K177" s="7"/>
      <c r="L177" s="7"/>
      <c r="M177" s="7"/>
      <c r="N177" s="7"/>
      <c r="O177" s="7"/>
      <c r="P177" s="7"/>
      <c r="Q177" s="7"/>
      <c r="R177" s="7"/>
      <c r="S177" s="7"/>
      <c r="T177" s="7"/>
      <c r="U177" s="7"/>
      <c r="V177" s="7"/>
      <c r="W177" s="7"/>
      <c r="X177" s="7"/>
      <c r="Y177" s="7"/>
    </row>
    <row r="178" spans="1:25" ht="15">
      <c r="A178" s="81"/>
      <c r="B178" s="7"/>
      <c r="C178" s="7"/>
      <c r="D178" s="7"/>
      <c r="E178" s="7"/>
      <c r="F178" s="7"/>
      <c r="G178" s="7"/>
      <c r="H178" s="7"/>
      <c r="J178" s="7"/>
      <c r="K178" s="7"/>
      <c r="L178" s="7"/>
      <c r="M178" s="7"/>
      <c r="N178" s="7"/>
      <c r="O178" s="7"/>
      <c r="P178" s="7"/>
      <c r="Q178" s="7"/>
      <c r="R178" s="7"/>
      <c r="S178" s="7"/>
      <c r="T178" s="7"/>
      <c r="U178" s="7"/>
      <c r="V178" s="7"/>
      <c r="W178" s="7"/>
      <c r="X178" s="7"/>
      <c r="Y178" s="7"/>
    </row>
    <row r="179" spans="1:25" ht="15">
      <c r="A179" s="81"/>
      <c r="B179" s="7"/>
      <c r="C179" s="7"/>
      <c r="D179" s="7"/>
      <c r="E179" s="7"/>
      <c r="F179" s="7"/>
      <c r="G179" s="7"/>
      <c r="H179" s="7"/>
      <c r="J179" s="7"/>
      <c r="K179" s="7"/>
      <c r="L179" s="7"/>
      <c r="M179" s="7"/>
      <c r="N179" s="7"/>
      <c r="O179" s="7"/>
      <c r="P179" s="7"/>
      <c r="Q179" s="7"/>
      <c r="R179" s="7"/>
      <c r="S179" s="7"/>
      <c r="T179" s="7"/>
      <c r="U179" s="7"/>
      <c r="V179" s="7"/>
      <c r="W179" s="7"/>
      <c r="X179" s="7"/>
      <c r="Y179" s="7"/>
    </row>
    <row r="180" spans="1:25" ht="15">
      <c r="A180" s="81"/>
      <c r="B180" s="7"/>
      <c r="C180" s="7"/>
      <c r="D180" s="7"/>
      <c r="E180" s="7"/>
      <c r="F180" s="7"/>
      <c r="G180" s="7"/>
      <c r="H180" s="7"/>
      <c r="J180" s="7"/>
      <c r="K180" s="7"/>
      <c r="L180" s="7"/>
      <c r="M180" s="7"/>
      <c r="N180" s="7"/>
      <c r="O180" s="7"/>
      <c r="P180" s="7"/>
      <c r="Q180" s="7"/>
      <c r="R180" s="7"/>
      <c r="S180" s="7"/>
      <c r="T180" s="7"/>
      <c r="U180" s="7"/>
      <c r="V180" s="7"/>
      <c r="W180" s="7"/>
      <c r="X180" s="7"/>
      <c r="Y180" s="7"/>
    </row>
    <row r="181" spans="1:25" ht="15">
      <c r="A181" s="81"/>
      <c r="B181" s="7"/>
      <c r="C181" s="7"/>
      <c r="D181" s="7"/>
      <c r="E181" s="7"/>
      <c r="F181" s="7"/>
      <c r="G181" s="7"/>
      <c r="H181" s="7"/>
      <c r="J181" s="7"/>
      <c r="K181" s="7"/>
      <c r="L181" s="7"/>
      <c r="M181" s="7"/>
      <c r="N181" s="7"/>
      <c r="O181" s="7"/>
      <c r="P181" s="7"/>
      <c r="Q181" s="7"/>
      <c r="R181" s="7"/>
      <c r="S181" s="7"/>
      <c r="T181" s="7"/>
      <c r="U181" s="7"/>
      <c r="V181" s="7"/>
      <c r="W181" s="7"/>
      <c r="X181" s="7"/>
      <c r="Y181" s="7"/>
    </row>
    <row r="182" spans="1:25" ht="15">
      <c r="A182" s="81"/>
      <c r="B182" s="7"/>
      <c r="C182" s="7"/>
      <c r="D182" s="7"/>
      <c r="E182" s="7"/>
      <c r="F182" s="7"/>
      <c r="G182" s="7"/>
      <c r="H182" s="7"/>
      <c r="J182" s="7"/>
      <c r="K182" s="7"/>
      <c r="L182" s="7"/>
      <c r="M182" s="7"/>
      <c r="N182" s="7"/>
      <c r="O182" s="7"/>
      <c r="P182" s="7"/>
      <c r="Q182" s="7"/>
      <c r="R182" s="7"/>
      <c r="S182" s="7"/>
      <c r="T182" s="7"/>
      <c r="U182" s="7"/>
      <c r="V182" s="7"/>
      <c r="W182" s="7"/>
      <c r="X182" s="7"/>
      <c r="Y182" s="7"/>
    </row>
    <row r="183" spans="1:25" ht="15">
      <c r="A183" s="81"/>
      <c r="B183" s="7"/>
      <c r="C183" s="7"/>
      <c r="D183" s="7"/>
      <c r="E183" s="7"/>
      <c r="F183" s="7"/>
      <c r="G183" s="7"/>
      <c r="H183" s="7"/>
      <c r="J183" s="7"/>
      <c r="K183" s="7"/>
      <c r="L183" s="7"/>
      <c r="M183" s="7"/>
      <c r="N183" s="7"/>
      <c r="O183" s="7"/>
      <c r="P183" s="7"/>
      <c r="Q183" s="7"/>
      <c r="R183" s="7"/>
      <c r="S183" s="7"/>
      <c r="T183" s="7"/>
      <c r="U183" s="7"/>
      <c r="V183" s="7"/>
      <c r="W183" s="7"/>
      <c r="X183" s="7"/>
      <c r="Y183" s="7"/>
    </row>
    <row r="184" spans="1:25" ht="15">
      <c r="A184" s="81"/>
      <c r="B184" s="7"/>
      <c r="C184" s="7"/>
      <c r="D184" s="7"/>
      <c r="E184" s="7"/>
      <c r="F184" s="7"/>
      <c r="G184" s="7"/>
      <c r="H184" s="7"/>
      <c r="J184" s="7"/>
      <c r="K184" s="7"/>
      <c r="L184" s="7"/>
      <c r="M184" s="7"/>
      <c r="N184" s="7"/>
      <c r="O184" s="7"/>
      <c r="P184" s="7"/>
      <c r="Q184" s="7"/>
      <c r="R184" s="7"/>
      <c r="S184" s="7"/>
      <c r="T184" s="7"/>
      <c r="U184" s="7"/>
      <c r="V184" s="7"/>
      <c r="W184" s="7"/>
      <c r="X184" s="7"/>
      <c r="Y184" s="7"/>
    </row>
    <row r="185" spans="1:25" ht="15">
      <c r="A185" s="81"/>
      <c r="B185" s="7"/>
      <c r="C185" s="7"/>
      <c r="D185" s="7"/>
      <c r="E185" s="7"/>
      <c r="F185" s="7"/>
      <c r="G185" s="7"/>
      <c r="H185" s="7"/>
      <c r="J185" s="7"/>
      <c r="K185" s="7"/>
      <c r="L185" s="7"/>
      <c r="M185" s="7"/>
      <c r="N185" s="7"/>
      <c r="O185" s="7"/>
      <c r="P185" s="7"/>
      <c r="Q185" s="7"/>
      <c r="R185" s="7"/>
      <c r="S185" s="7"/>
      <c r="T185" s="7"/>
      <c r="U185" s="7"/>
      <c r="V185" s="7"/>
      <c r="W185" s="7"/>
      <c r="X185" s="7"/>
      <c r="Y185" s="7"/>
    </row>
    <row r="186" spans="1:25" ht="15">
      <c r="A186" s="81"/>
      <c r="B186" s="7"/>
      <c r="C186" s="7"/>
      <c r="D186" s="7"/>
      <c r="E186" s="7"/>
      <c r="F186" s="7"/>
      <c r="G186" s="7"/>
      <c r="H186" s="7"/>
      <c r="J186" s="7"/>
      <c r="K186" s="7"/>
      <c r="L186" s="7"/>
      <c r="M186" s="7"/>
      <c r="N186" s="7"/>
      <c r="O186" s="7"/>
      <c r="P186" s="7"/>
      <c r="Q186" s="7"/>
      <c r="R186" s="7"/>
      <c r="S186" s="7"/>
      <c r="T186" s="7"/>
      <c r="U186" s="7"/>
      <c r="V186" s="7"/>
      <c r="W186" s="7"/>
      <c r="X186" s="7"/>
      <c r="Y186" s="7"/>
    </row>
    <row r="187" spans="1:25" ht="15">
      <c r="A187" s="81"/>
      <c r="B187" s="7"/>
      <c r="C187" s="7"/>
      <c r="D187" s="7"/>
      <c r="E187" s="7"/>
      <c r="F187" s="7"/>
      <c r="G187" s="7"/>
      <c r="H187" s="7"/>
      <c r="J187" s="7"/>
      <c r="K187" s="7"/>
      <c r="L187" s="7"/>
      <c r="M187" s="7"/>
      <c r="N187" s="7"/>
      <c r="O187" s="7"/>
      <c r="P187" s="7"/>
      <c r="Q187" s="7"/>
      <c r="R187" s="7"/>
      <c r="S187" s="7"/>
      <c r="T187" s="7"/>
      <c r="U187" s="7"/>
      <c r="V187" s="7"/>
      <c r="W187" s="7"/>
      <c r="X187" s="7"/>
      <c r="Y187" s="7"/>
    </row>
    <row r="188" spans="1:25" ht="15">
      <c r="A188" s="81"/>
      <c r="B188" s="7"/>
      <c r="C188" s="7"/>
      <c r="D188" s="7"/>
      <c r="E188" s="7"/>
      <c r="F188" s="7"/>
      <c r="G188" s="7"/>
      <c r="H188" s="7"/>
      <c r="J188" s="7"/>
      <c r="K188" s="7"/>
      <c r="L188" s="7"/>
      <c r="M188" s="7"/>
      <c r="N188" s="7"/>
      <c r="O188" s="7"/>
      <c r="P188" s="7"/>
      <c r="Q188" s="7"/>
      <c r="R188" s="7"/>
      <c r="S188" s="7"/>
      <c r="T188" s="7"/>
      <c r="U188" s="7"/>
      <c r="V188" s="7"/>
      <c r="W188" s="7"/>
      <c r="X188" s="7"/>
      <c r="Y188" s="7"/>
    </row>
    <row r="189" spans="1:25" ht="15">
      <c r="A189" s="81"/>
      <c r="B189" s="7"/>
      <c r="C189" s="7"/>
      <c r="D189" s="7"/>
      <c r="E189" s="7"/>
      <c r="F189" s="7"/>
      <c r="G189" s="7"/>
      <c r="H189" s="7"/>
      <c r="J189" s="7"/>
      <c r="K189" s="7"/>
      <c r="L189" s="7"/>
      <c r="M189" s="7"/>
      <c r="N189" s="7"/>
      <c r="O189" s="7"/>
      <c r="P189" s="7"/>
      <c r="Q189" s="7"/>
      <c r="R189" s="7"/>
      <c r="S189" s="7"/>
      <c r="T189" s="7"/>
      <c r="U189" s="7"/>
      <c r="V189" s="7"/>
      <c r="W189" s="7"/>
      <c r="X189" s="7"/>
      <c r="Y189" s="7"/>
    </row>
    <row r="190" spans="1:25" ht="15">
      <c r="A190" s="81"/>
      <c r="B190" s="7"/>
      <c r="C190" s="7"/>
      <c r="D190" s="7"/>
      <c r="E190" s="7"/>
      <c r="F190" s="7"/>
      <c r="G190" s="7"/>
      <c r="H190" s="7"/>
      <c r="J190" s="7"/>
      <c r="K190" s="7"/>
      <c r="L190" s="7"/>
      <c r="M190" s="7"/>
      <c r="N190" s="7"/>
      <c r="O190" s="7"/>
      <c r="P190" s="7"/>
      <c r="Q190" s="7"/>
      <c r="R190" s="7"/>
      <c r="S190" s="7"/>
      <c r="T190" s="7"/>
      <c r="U190" s="7"/>
      <c r="V190" s="7"/>
      <c r="W190" s="7"/>
      <c r="X190" s="7"/>
      <c r="Y190" s="7"/>
    </row>
    <row r="191" spans="1:25" ht="15">
      <c r="A191" s="81"/>
      <c r="B191" s="7"/>
      <c r="C191" s="7"/>
      <c r="D191" s="7"/>
      <c r="E191" s="7"/>
      <c r="F191" s="7"/>
      <c r="G191" s="7"/>
      <c r="H191" s="7"/>
      <c r="J191" s="7"/>
      <c r="K191" s="7"/>
      <c r="L191" s="7"/>
      <c r="M191" s="7"/>
      <c r="N191" s="7"/>
      <c r="O191" s="7"/>
      <c r="P191" s="7"/>
      <c r="Q191" s="7"/>
      <c r="R191" s="7"/>
      <c r="S191" s="7"/>
      <c r="T191" s="7"/>
      <c r="U191" s="7"/>
      <c r="V191" s="7"/>
      <c r="W191" s="7"/>
      <c r="X191" s="7"/>
      <c r="Y191" s="7"/>
    </row>
    <row r="192" spans="1:25" ht="15">
      <c r="A192" s="81"/>
      <c r="B192" s="7"/>
      <c r="C192" s="7"/>
      <c r="D192" s="7"/>
      <c r="E192" s="7"/>
      <c r="F192" s="7"/>
      <c r="G192" s="7"/>
      <c r="H192" s="7"/>
      <c r="J192" s="7"/>
      <c r="K192" s="7"/>
      <c r="L192" s="7"/>
      <c r="M192" s="7"/>
      <c r="N192" s="7"/>
      <c r="O192" s="7"/>
      <c r="P192" s="7"/>
      <c r="Q192" s="7"/>
      <c r="R192" s="7"/>
      <c r="S192" s="7"/>
      <c r="T192" s="7"/>
      <c r="U192" s="7"/>
      <c r="V192" s="7"/>
      <c r="W192" s="7"/>
      <c r="X192" s="7"/>
      <c r="Y192" s="7"/>
    </row>
    <row r="193" spans="1:25" ht="15">
      <c r="A193" s="81"/>
      <c r="B193" s="7"/>
      <c r="C193" s="7"/>
      <c r="D193" s="7"/>
      <c r="E193" s="7"/>
      <c r="F193" s="7"/>
      <c r="G193" s="7"/>
      <c r="H193" s="7"/>
      <c r="J193" s="7"/>
      <c r="K193" s="7"/>
      <c r="L193" s="7"/>
      <c r="M193" s="7"/>
      <c r="N193" s="7"/>
      <c r="O193" s="7"/>
      <c r="P193" s="7"/>
      <c r="Q193" s="7"/>
      <c r="R193" s="7"/>
      <c r="S193" s="7"/>
      <c r="T193" s="7"/>
      <c r="U193" s="7"/>
      <c r="V193" s="7"/>
      <c r="W193" s="7"/>
      <c r="X193" s="7"/>
      <c r="Y193" s="7"/>
    </row>
    <row r="194" spans="1:25" ht="15">
      <c r="A194" s="81"/>
      <c r="B194" s="7"/>
      <c r="C194" s="7"/>
      <c r="D194" s="7"/>
      <c r="E194" s="7"/>
      <c r="F194" s="7"/>
      <c r="G194" s="7"/>
      <c r="H194" s="7"/>
      <c r="J194" s="7"/>
      <c r="K194" s="7"/>
      <c r="L194" s="7"/>
      <c r="M194" s="7"/>
      <c r="N194" s="7"/>
      <c r="O194" s="7"/>
      <c r="P194" s="7"/>
      <c r="Q194" s="7"/>
      <c r="R194" s="7"/>
      <c r="S194" s="7"/>
      <c r="T194" s="7"/>
      <c r="U194" s="7"/>
      <c r="V194" s="7"/>
      <c r="W194" s="7"/>
      <c r="X194" s="7"/>
      <c r="Y194" s="7"/>
    </row>
    <row r="195" spans="1:25" ht="15">
      <c r="A195" s="81"/>
      <c r="B195" s="7"/>
      <c r="C195" s="7"/>
      <c r="D195" s="7"/>
      <c r="E195" s="7"/>
      <c r="F195" s="7"/>
      <c r="G195" s="7"/>
      <c r="H195" s="7"/>
      <c r="J195" s="7"/>
      <c r="K195" s="7"/>
      <c r="L195" s="7"/>
      <c r="M195" s="7"/>
      <c r="N195" s="7"/>
      <c r="O195" s="7"/>
      <c r="P195" s="7"/>
      <c r="Q195" s="7"/>
      <c r="R195" s="7"/>
      <c r="S195" s="7"/>
      <c r="T195" s="7"/>
      <c r="U195" s="7"/>
      <c r="V195" s="7"/>
      <c r="W195" s="7"/>
      <c r="X195" s="7"/>
      <c r="Y195" s="7"/>
    </row>
    <row r="196" spans="1:25" ht="15">
      <c r="A196" s="81"/>
      <c r="B196" s="7"/>
      <c r="C196" s="7"/>
      <c r="D196" s="7"/>
      <c r="E196" s="7"/>
      <c r="F196" s="7"/>
      <c r="G196" s="7"/>
      <c r="H196" s="7"/>
      <c r="J196" s="7"/>
      <c r="K196" s="7"/>
      <c r="L196" s="7"/>
      <c r="M196" s="7"/>
      <c r="N196" s="7"/>
      <c r="O196" s="7"/>
      <c r="P196" s="7"/>
      <c r="Q196" s="7"/>
      <c r="R196" s="7"/>
      <c r="S196" s="7"/>
      <c r="T196" s="7"/>
      <c r="U196" s="7"/>
      <c r="V196" s="7"/>
      <c r="W196" s="7"/>
      <c r="X196" s="7"/>
      <c r="Y196" s="7"/>
    </row>
    <row r="197" spans="1:25" ht="15">
      <c r="A197" s="81"/>
      <c r="B197" s="7"/>
      <c r="C197" s="7"/>
      <c r="D197" s="7"/>
      <c r="E197" s="7"/>
      <c r="F197" s="7"/>
      <c r="G197" s="7"/>
      <c r="H197" s="7"/>
      <c r="J197" s="7"/>
      <c r="K197" s="7"/>
      <c r="L197" s="7"/>
      <c r="M197" s="7"/>
      <c r="N197" s="7"/>
      <c r="O197" s="7"/>
      <c r="P197" s="7"/>
      <c r="Q197" s="7"/>
      <c r="R197" s="7"/>
      <c r="S197" s="7"/>
      <c r="T197" s="7"/>
      <c r="U197" s="7"/>
      <c r="V197" s="7"/>
      <c r="W197" s="7"/>
      <c r="X197" s="7"/>
      <c r="Y197" s="7"/>
    </row>
    <row r="198" spans="1:25" ht="15">
      <c r="A198" s="81"/>
      <c r="B198" s="7"/>
      <c r="C198" s="7"/>
      <c r="D198" s="7"/>
      <c r="E198" s="7"/>
      <c r="F198" s="7"/>
      <c r="G198" s="7"/>
      <c r="H198" s="7"/>
      <c r="J198" s="7"/>
      <c r="K198" s="7"/>
      <c r="L198" s="7"/>
      <c r="M198" s="7"/>
      <c r="N198" s="7"/>
      <c r="O198" s="7"/>
      <c r="P198" s="7"/>
      <c r="Q198" s="7"/>
      <c r="R198" s="7"/>
      <c r="S198" s="7"/>
      <c r="T198" s="7"/>
      <c r="U198" s="7"/>
      <c r="V198" s="7"/>
      <c r="W198" s="7"/>
      <c r="X198" s="7"/>
      <c r="Y198" s="7"/>
    </row>
    <row r="199" spans="1:25" ht="15">
      <c r="A199" s="81"/>
      <c r="B199" s="7"/>
      <c r="C199" s="7"/>
      <c r="D199" s="7"/>
      <c r="E199" s="7"/>
      <c r="F199" s="7"/>
      <c r="G199" s="7"/>
      <c r="H199" s="7"/>
      <c r="J199" s="7"/>
      <c r="K199" s="7"/>
      <c r="L199" s="7"/>
      <c r="M199" s="7"/>
      <c r="N199" s="7"/>
      <c r="O199" s="7"/>
      <c r="P199" s="7"/>
      <c r="Q199" s="7"/>
      <c r="R199" s="7"/>
      <c r="S199" s="7"/>
      <c r="T199" s="7"/>
      <c r="U199" s="7"/>
      <c r="V199" s="7"/>
      <c r="W199" s="7"/>
      <c r="X199" s="7"/>
      <c r="Y199" s="7"/>
    </row>
    <row r="200" spans="1:25" ht="15">
      <c r="A200" s="81"/>
      <c r="B200" s="7"/>
      <c r="C200" s="7"/>
      <c r="D200" s="7"/>
      <c r="E200" s="7"/>
      <c r="F200" s="7"/>
      <c r="G200" s="7"/>
      <c r="H200" s="7"/>
      <c r="J200" s="7"/>
      <c r="K200" s="7"/>
      <c r="L200" s="7"/>
      <c r="M200" s="7"/>
      <c r="N200" s="7"/>
      <c r="O200" s="7"/>
      <c r="P200" s="7"/>
      <c r="Q200" s="7"/>
      <c r="R200" s="7"/>
      <c r="S200" s="7"/>
      <c r="T200" s="7"/>
      <c r="U200" s="7"/>
      <c r="V200" s="7"/>
      <c r="W200" s="7"/>
      <c r="X200" s="7"/>
      <c r="Y200" s="7"/>
    </row>
    <row r="201" spans="1:25" ht="15">
      <c r="A201" s="81"/>
      <c r="B201" s="7"/>
      <c r="C201" s="7"/>
      <c r="D201" s="7"/>
      <c r="E201" s="7"/>
      <c r="F201" s="7"/>
      <c r="G201" s="7"/>
      <c r="H201" s="7"/>
      <c r="J201" s="7"/>
      <c r="K201" s="7"/>
      <c r="L201" s="7"/>
      <c r="M201" s="7"/>
      <c r="N201" s="7"/>
      <c r="O201" s="7"/>
      <c r="P201" s="7"/>
      <c r="Q201" s="7"/>
      <c r="R201" s="7"/>
      <c r="S201" s="7"/>
      <c r="T201" s="7"/>
      <c r="U201" s="7"/>
      <c r="V201" s="7"/>
      <c r="W201" s="7"/>
      <c r="X201" s="7"/>
      <c r="Y201" s="7"/>
    </row>
    <row r="202" spans="1:25" ht="15">
      <c r="A202" s="81"/>
      <c r="B202" s="7"/>
      <c r="C202" s="7"/>
      <c r="D202" s="7"/>
      <c r="E202" s="7"/>
      <c r="F202" s="7"/>
      <c r="G202" s="7"/>
      <c r="H202" s="7"/>
      <c r="J202" s="7"/>
      <c r="K202" s="7"/>
      <c r="L202" s="7"/>
      <c r="M202" s="7"/>
      <c r="N202" s="7"/>
      <c r="O202" s="7"/>
      <c r="P202" s="7"/>
      <c r="Q202" s="7"/>
      <c r="R202" s="7"/>
      <c r="S202" s="7"/>
      <c r="T202" s="7"/>
      <c r="U202" s="7"/>
      <c r="V202" s="7"/>
      <c r="W202" s="7"/>
      <c r="X202" s="7"/>
      <c r="Y202" s="7"/>
    </row>
    <row r="203" spans="1:25" ht="15">
      <c r="A203" s="81"/>
      <c r="B203" s="7"/>
      <c r="C203" s="7"/>
      <c r="D203" s="7"/>
      <c r="E203" s="7"/>
      <c r="F203" s="7"/>
      <c r="G203" s="7"/>
      <c r="H203" s="7"/>
      <c r="J203" s="7"/>
      <c r="K203" s="7"/>
      <c r="L203" s="7"/>
      <c r="M203" s="7"/>
      <c r="N203" s="7"/>
      <c r="O203" s="7"/>
      <c r="P203" s="7"/>
      <c r="Q203" s="7"/>
      <c r="R203" s="7"/>
      <c r="S203" s="7"/>
      <c r="T203" s="7"/>
      <c r="U203" s="7"/>
      <c r="V203" s="7"/>
      <c r="W203" s="7"/>
      <c r="X203" s="7"/>
      <c r="Y203" s="7"/>
    </row>
    <row r="204" spans="1:25" ht="15">
      <c r="A204" s="81"/>
      <c r="B204" s="7"/>
      <c r="C204" s="7"/>
      <c r="D204" s="7"/>
      <c r="E204" s="7"/>
      <c r="F204" s="7"/>
      <c r="G204" s="7"/>
      <c r="H204" s="7"/>
      <c r="J204" s="7"/>
      <c r="K204" s="7"/>
      <c r="L204" s="7"/>
      <c r="M204" s="7"/>
      <c r="N204" s="7"/>
      <c r="O204" s="7"/>
      <c r="P204" s="7"/>
      <c r="Q204" s="7"/>
      <c r="R204" s="7"/>
      <c r="S204" s="7"/>
      <c r="T204" s="7"/>
      <c r="U204" s="7"/>
      <c r="V204" s="7"/>
      <c r="W204" s="7"/>
      <c r="X204" s="7"/>
      <c r="Y204" s="7"/>
    </row>
    <row r="205" spans="1:25" ht="15">
      <c r="A205" s="81"/>
      <c r="B205" s="7"/>
      <c r="C205" s="7"/>
      <c r="D205" s="7"/>
      <c r="E205" s="7"/>
      <c r="F205" s="7"/>
      <c r="G205" s="7"/>
      <c r="H205" s="7"/>
      <c r="J205" s="7"/>
      <c r="K205" s="7"/>
      <c r="L205" s="7"/>
      <c r="M205" s="7"/>
      <c r="N205" s="7"/>
      <c r="O205" s="7"/>
      <c r="P205" s="7"/>
      <c r="Q205" s="7"/>
      <c r="R205" s="7"/>
      <c r="S205" s="7"/>
      <c r="T205" s="7"/>
      <c r="U205" s="7"/>
      <c r="V205" s="7"/>
      <c r="W205" s="7"/>
      <c r="X205" s="7"/>
      <c r="Y205" s="7"/>
    </row>
    <row r="206" spans="1:25" ht="15">
      <c r="A206" s="81"/>
      <c r="B206" s="7"/>
      <c r="C206" s="7"/>
      <c r="D206" s="7"/>
      <c r="E206" s="7"/>
      <c r="F206" s="7"/>
      <c r="G206" s="7"/>
      <c r="H206" s="7"/>
      <c r="J206" s="7"/>
      <c r="K206" s="7"/>
      <c r="L206" s="7"/>
      <c r="M206" s="7"/>
      <c r="N206" s="7"/>
      <c r="O206" s="7"/>
      <c r="P206" s="7"/>
      <c r="Q206" s="7"/>
      <c r="R206" s="7"/>
      <c r="S206" s="7"/>
      <c r="T206" s="7"/>
      <c r="U206" s="7"/>
      <c r="V206" s="7"/>
      <c r="W206" s="7"/>
      <c r="X206" s="7"/>
      <c r="Y206" s="7"/>
    </row>
    <row r="207" spans="1:25" ht="15">
      <c r="A207" s="81"/>
      <c r="B207" s="7"/>
      <c r="C207" s="7"/>
      <c r="D207" s="7"/>
      <c r="E207" s="7"/>
      <c r="F207" s="7"/>
      <c r="G207" s="7"/>
      <c r="H207" s="7"/>
      <c r="J207" s="7"/>
      <c r="K207" s="7"/>
      <c r="L207" s="7"/>
      <c r="M207" s="7"/>
      <c r="N207" s="7"/>
      <c r="O207" s="7"/>
      <c r="P207" s="7"/>
      <c r="Q207" s="7"/>
      <c r="R207" s="7"/>
      <c r="S207" s="7"/>
      <c r="T207" s="7"/>
      <c r="U207" s="7"/>
      <c r="V207" s="7"/>
      <c r="W207" s="7"/>
      <c r="X207" s="7"/>
      <c r="Y207" s="7"/>
    </row>
    <row r="208" spans="1:25" ht="15">
      <c r="A208" s="81"/>
      <c r="B208" s="7"/>
      <c r="C208" s="7"/>
      <c r="D208" s="7"/>
      <c r="E208" s="7"/>
      <c r="F208" s="7"/>
      <c r="G208" s="7"/>
      <c r="H208" s="7"/>
      <c r="J208" s="7"/>
      <c r="K208" s="7"/>
      <c r="L208" s="7"/>
      <c r="M208" s="7"/>
      <c r="N208" s="7"/>
      <c r="O208" s="7"/>
      <c r="P208" s="7"/>
      <c r="Q208" s="7"/>
      <c r="R208" s="7"/>
      <c r="S208" s="7"/>
      <c r="T208" s="7"/>
      <c r="U208" s="7"/>
      <c r="V208" s="7"/>
      <c r="W208" s="7"/>
      <c r="X208" s="7"/>
      <c r="Y208" s="7"/>
    </row>
    <row r="209" spans="1:25" ht="15">
      <c r="A209" s="81"/>
      <c r="B209" s="7"/>
      <c r="C209" s="7"/>
      <c r="D209" s="7"/>
      <c r="E209" s="7"/>
      <c r="F209" s="7"/>
      <c r="G209" s="7"/>
      <c r="H209" s="7"/>
      <c r="J209" s="7"/>
      <c r="K209" s="7"/>
      <c r="L209" s="7"/>
      <c r="M209" s="7"/>
      <c r="N209" s="7"/>
      <c r="O209" s="7"/>
      <c r="P209" s="7"/>
      <c r="Q209" s="7"/>
      <c r="R209" s="7"/>
      <c r="S209" s="7"/>
      <c r="T209" s="7"/>
      <c r="U209" s="7"/>
      <c r="V209" s="7"/>
      <c r="W209" s="7"/>
      <c r="X209" s="7"/>
      <c r="Y209" s="7"/>
    </row>
    <row r="210" spans="1:25" ht="15">
      <c r="A210" s="81"/>
      <c r="B210" s="7"/>
      <c r="C210" s="7"/>
      <c r="D210" s="7"/>
      <c r="E210" s="7"/>
      <c r="F210" s="7"/>
      <c r="G210" s="7"/>
      <c r="H210" s="7"/>
      <c r="J210" s="7"/>
      <c r="K210" s="7"/>
      <c r="L210" s="7"/>
      <c r="M210" s="7"/>
      <c r="N210" s="7"/>
      <c r="O210" s="7"/>
      <c r="P210" s="7"/>
      <c r="Q210" s="7"/>
      <c r="R210" s="7"/>
      <c r="S210" s="7"/>
      <c r="T210" s="7"/>
      <c r="U210" s="7"/>
      <c r="V210" s="7"/>
      <c r="W210" s="7"/>
      <c r="X210" s="7"/>
      <c r="Y210" s="7"/>
    </row>
    <row r="211" spans="1:25" ht="15">
      <c r="A211" s="81"/>
      <c r="B211" s="7"/>
      <c r="C211" s="7"/>
      <c r="D211" s="7"/>
      <c r="E211" s="7"/>
      <c r="F211" s="7"/>
      <c r="G211" s="7"/>
      <c r="H211" s="7"/>
      <c r="J211" s="7"/>
      <c r="K211" s="7"/>
      <c r="L211" s="7"/>
      <c r="M211" s="7"/>
      <c r="N211" s="7"/>
      <c r="O211" s="7"/>
      <c r="P211" s="7"/>
      <c r="Q211" s="7"/>
      <c r="R211" s="7"/>
      <c r="S211" s="7"/>
      <c r="T211" s="7"/>
      <c r="U211" s="7"/>
      <c r="V211" s="7"/>
      <c r="W211" s="7"/>
      <c r="X211" s="7"/>
      <c r="Y211" s="7"/>
    </row>
    <row r="212" spans="1:25" ht="15">
      <c r="A212" s="81"/>
      <c r="B212" s="7"/>
      <c r="C212" s="7"/>
      <c r="D212" s="7"/>
      <c r="E212" s="7"/>
      <c r="F212" s="7"/>
      <c r="G212" s="7"/>
      <c r="H212" s="7"/>
      <c r="J212" s="7"/>
      <c r="K212" s="7"/>
      <c r="L212" s="7"/>
      <c r="M212" s="7"/>
      <c r="N212" s="7"/>
      <c r="O212" s="7"/>
      <c r="P212" s="7"/>
      <c r="Q212" s="7"/>
      <c r="R212" s="7"/>
      <c r="S212" s="7"/>
      <c r="T212" s="7"/>
      <c r="U212" s="7"/>
      <c r="V212" s="7"/>
      <c r="W212" s="7"/>
      <c r="X212" s="7"/>
      <c r="Y212" s="7"/>
    </row>
    <row r="213" spans="1:25" ht="15">
      <c r="A213" s="81"/>
      <c r="B213" s="7"/>
      <c r="C213" s="7"/>
      <c r="D213" s="7"/>
      <c r="E213" s="7"/>
      <c r="F213" s="7"/>
      <c r="G213" s="7"/>
      <c r="H213" s="7"/>
      <c r="J213" s="7"/>
      <c r="K213" s="7"/>
      <c r="L213" s="7"/>
      <c r="M213" s="7"/>
      <c r="N213" s="7"/>
      <c r="O213" s="7"/>
      <c r="P213" s="7"/>
      <c r="Q213" s="7"/>
      <c r="R213" s="7"/>
      <c r="S213" s="7"/>
      <c r="T213" s="7"/>
      <c r="U213" s="7"/>
      <c r="V213" s="7"/>
      <c r="W213" s="7"/>
      <c r="X213" s="7"/>
      <c r="Y213" s="7"/>
    </row>
    <row r="214" spans="1:25" ht="15">
      <c r="A214" s="81"/>
      <c r="B214" s="7"/>
      <c r="C214" s="7"/>
      <c r="D214" s="7"/>
      <c r="E214" s="7"/>
      <c r="F214" s="7"/>
      <c r="G214" s="7"/>
      <c r="H214" s="7"/>
      <c r="J214" s="7"/>
      <c r="K214" s="7"/>
      <c r="L214" s="7"/>
      <c r="M214" s="7"/>
      <c r="N214" s="7"/>
      <c r="O214" s="7"/>
      <c r="P214" s="7"/>
      <c r="Q214" s="7"/>
      <c r="R214" s="7"/>
      <c r="S214" s="7"/>
      <c r="T214" s="7"/>
      <c r="U214" s="7"/>
      <c r="V214" s="7"/>
      <c r="W214" s="7"/>
      <c r="X214" s="7"/>
      <c r="Y214" s="7"/>
    </row>
    <row r="215" spans="1:25" ht="15">
      <c r="A215" s="81"/>
      <c r="B215" s="7"/>
      <c r="C215" s="7"/>
      <c r="D215" s="7"/>
      <c r="E215" s="7"/>
      <c r="F215" s="7"/>
      <c r="G215" s="7"/>
      <c r="H215" s="7"/>
      <c r="J215" s="7"/>
      <c r="K215" s="7"/>
      <c r="L215" s="7"/>
      <c r="M215" s="7"/>
      <c r="N215" s="7"/>
      <c r="O215" s="7"/>
      <c r="P215" s="7"/>
      <c r="Q215" s="7"/>
      <c r="R215" s="7"/>
      <c r="S215" s="7"/>
      <c r="T215" s="7"/>
      <c r="U215" s="7"/>
      <c r="V215" s="7"/>
      <c r="W215" s="7"/>
      <c r="X215" s="7"/>
      <c r="Y215" s="7"/>
    </row>
    <row r="216" spans="1:25" ht="15">
      <c r="A216" s="81"/>
      <c r="B216" s="7"/>
      <c r="C216" s="7"/>
      <c r="D216" s="7"/>
      <c r="E216" s="7"/>
      <c r="F216" s="7"/>
      <c r="G216" s="7"/>
      <c r="H216" s="7"/>
      <c r="J216" s="7"/>
      <c r="K216" s="7"/>
      <c r="L216" s="7"/>
      <c r="M216" s="7"/>
      <c r="N216" s="7"/>
      <c r="O216" s="7"/>
      <c r="P216" s="7"/>
      <c r="Q216" s="7"/>
      <c r="R216" s="7"/>
      <c r="S216" s="7"/>
      <c r="T216" s="7"/>
      <c r="U216" s="7"/>
      <c r="V216" s="7"/>
      <c r="W216" s="7"/>
      <c r="X216" s="7"/>
      <c r="Y216" s="7"/>
    </row>
    <row r="217" spans="1:25" ht="15">
      <c r="A217" s="81"/>
      <c r="B217" s="7"/>
      <c r="C217" s="7"/>
      <c r="D217" s="7"/>
      <c r="E217" s="7"/>
      <c r="F217" s="7"/>
      <c r="G217" s="7"/>
      <c r="H217" s="7"/>
      <c r="J217" s="7"/>
      <c r="K217" s="7"/>
      <c r="L217" s="7"/>
      <c r="M217" s="7"/>
      <c r="N217" s="7"/>
      <c r="O217" s="7"/>
      <c r="P217" s="7"/>
      <c r="Q217" s="7"/>
      <c r="R217" s="7"/>
      <c r="S217" s="7"/>
      <c r="T217" s="7"/>
      <c r="U217" s="7"/>
      <c r="V217" s="7"/>
      <c r="W217" s="7"/>
      <c r="X217" s="7"/>
      <c r="Y217" s="7"/>
    </row>
    <row r="218" spans="1:25" ht="15">
      <c r="A218" s="81"/>
      <c r="B218" s="7"/>
      <c r="C218" s="7"/>
      <c r="D218" s="7"/>
      <c r="E218" s="7"/>
      <c r="F218" s="7"/>
      <c r="G218" s="7"/>
      <c r="H218" s="7"/>
      <c r="J218" s="7"/>
      <c r="K218" s="7"/>
      <c r="L218" s="7"/>
      <c r="M218" s="7"/>
      <c r="N218" s="7"/>
      <c r="O218" s="7"/>
      <c r="P218" s="7"/>
      <c r="Q218" s="7"/>
      <c r="R218" s="7"/>
      <c r="S218" s="7"/>
      <c r="T218" s="7"/>
      <c r="U218" s="7"/>
      <c r="V218" s="7"/>
      <c r="W218" s="7"/>
      <c r="X218" s="7"/>
      <c r="Y218" s="7"/>
    </row>
    <row r="219" spans="1:25" ht="15">
      <c r="A219" s="81"/>
      <c r="B219" s="7"/>
      <c r="C219" s="7"/>
      <c r="D219" s="7"/>
      <c r="E219" s="7"/>
      <c r="F219" s="7"/>
      <c r="G219" s="7"/>
      <c r="H219" s="7"/>
      <c r="J219" s="7"/>
      <c r="K219" s="7"/>
      <c r="L219" s="7"/>
      <c r="M219" s="7"/>
      <c r="N219" s="7"/>
      <c r="O219" s="7"/>
      <c r="P219" s="7"/>
      <c r="Q219" s="7"/>
      <c r="R219" s="7"/>
      <c r="S219" s="7"/>
      <c r="T219" s="7"/>
      <c r="U219" s="7"/>
      <c r="V219" s="7"/>
      <c r="W219" s="7"/>
      <c r="X219" s="7"/>
      <c r="Y219" s="7"/>
    </row>
    <row r="220" spans="1:25" ht="15">
      <c r="A220" s="81"/>
      <c r="B220" s="7"/>
      <c r="C220" s="7"/>
      <c r="D220" s="7"/>
      <c r="E220" s="7"/>
      <c r="F220" s="7"/>
      <c r="G220" s="7"/>
      <c r="H220" s="7"/>
      <c r="J220" s="7"/>
      <c r="K220" s="7"/>
      <c r="L220" s="7"/>
      <c r="M220" s="7"/>
      <c r="N220" s="7"/>
      <c r="O220" s="7"/>
      <c r="P220" s="7"/>
      <c r="Q220" s="7"/>
      <c r="R220" s="7"/>
      <c r="S220" s="7"/>
      <c r="T220" s="7"/>
      <c r="U220" s="7"/>
      <c r="V220" s="7"/>
      <c r="W220" s="7"/>
      <c r="X220" s="7"/>
      <c r="Y220" s="7"/>
    </row>
    <row r="221" spans="1:25" ht="15">
      <c r="A221" s="81"/>
      <c r="B221" s="7"/>
      <c r="C221" s="7"/>
      <c r="D221" s="7"/>
      <c r="E221" s="7"/>
      <c r="F221" s="7"/>
      <c r="G221" s="7"/>
      <c r="H221" s="7"/>
      <c r="J221" s="7"/>
      <c r="K221" s="7"/>
      <c r="L221" s="7"/>
      <c r="M221" s="7"/>
      <c r="N221" s="7"/>
      <c r="O221" s="7"/>
      <c r="P221" s="7"/>
      <c r="Q221" s="7"/>
      <c r="R221" s="7"/>
      <c r="S221" s="7"/>
      <c r="T221" s="7"/>
      <c r="U221" s="7"/>
      <c r="V221" s="7"/>
      <c r="W221" s="7"/>
      <c r="X221" s="7"/>
      <c r="Y221" s="7"/>
    </row>
    <row r="222" spans="1:25" ht="15">
      <c r="A222" s="81"/>
      <c r="B222" s="7"/>
      <c r="C222" s="7"/>
      <c r="D222" s="7"/>
      <c r="E222" s="7"/>
      <c r="F222" s="7"/>
      <c r="G222" s="7"/>
      <c r="H222" s="7"/>
      <c r="J222" s="7"/>
      <c r="K222" s="7"/>
      <c r="L222" s="7"/>
      <c r="M222" s="7"/>
      <c r="N222" s="7"/>
      <c r="O222" s="7"/>
      <c r="P222" s="7"/>
      <c r="Q222" s="7"/>
      <c r="R222" s="7"/>
      <c r="S222" s="7"/>
      <c r="T222" s="7"/>
      <c r="U222" s="7"/>
      <c r="V222" s="7"/>
      <c r="W222" s="7"/>
      <c r="X222" s="7"/>
      <c r="Y222" s="7"/>
    </row>
    <row r="223" spans="1:25" ht="15">
      <c r="A223" s="81"/>
      <c r="B223" s="7"/>
      <c r="C223" s="7"/>
      <c r="D223" s="7"/>
      <c r="E223" s="7"/>
      <c r="F223" s="7"/>
      <c r="G223" s="7"/>
      <c r="H223" s="7"/>
      <c r="J223" s="7"/>
      <c r="K223" s="7"/>
      <c r="L223" s="7"/>
      <c r="M223" s="7"/>
      <c r="N223" s="7"/>
      <c r="O223" s="7"/>
      <c r="P223" s="7"/>
      <c r="Q223" s="7"/>
      <c r="R223" s="7"/>
      <c r="S223" s="7"/>
      <c r="T223" s="7"/>
      <c r="U223" s="7"/>
      <c r="V223" s="7"/>
      <c r="W223" s="7"/>
      <c r="X223" s="7"/>
      <c r="Y223" s="7"/>
    </row>
    <row r="224" spans="1:25" ht="15">
      <c r="A224" s="81"/>
      <c r="B224" s="7"/>
      <c r="C224" s="7"/>
      <c r="D224" s="7"/>
      <c r="E224" s="7"/>
      <c r="F224" s="7"/>
      <c r="G224" s="7"/>
      <c r="H224" s="7"/>
      <c r="J224" s="7"/>
      <c r="K224" s="7"/>
      <c r="L224" s="7"/>
      <c r="M224" s="7"/>
      <c r="N224" s="7"/>
      <c r="O224" s="7"/>
      <c r="P224" s="7"/>
      <c r="Q224" s="7"/>
      <c r="R224" s="7"/>
      <c r="S224" s="7"/>
      <c r="T224" s="7"/>
      <c r="U224" s="7"/>
      <c r="V224" s="7"/>
      <c r="W224" s="7"/>
      <c r="X224" s="7"/>
      <c r="Y224" s="7"/>
    </row>
    <row r="225" spans="1:25" ht="15">
      <c r="A225" s="81"/>
      <c r="B225" s="7"/>
      <c r="C225" s="7"/>
      <c r="D225" s="7"/>
      <c r="E225" s="7"/>
      <c r="F225" s="7"/>
      <c r="G225" s="7"/>
      <c r="H225" s="7"/>
      <c r="J225" s="7"/>
      <c r="K225" s="7"/>
      <c r="L225" s="7"/>
      <c r="M225" s="7"/>
      <c r="N225" s="7"/>
      <c r="O225" s="7"/>
      <c r="P225" s="7"/>
      <c r="Q225" s="7"/>
      <c r="R225" s="7"/>
      <c r="S225" s="7"/>
      <c r="T225" s="7"/>
      <c r="U225" s="7"/>
      <c r="V225" s="7"/>
      <c r="W225" s="7"/>
      <c r="X225" s="7"/>
      <c r="Y225" s="7"/>
    </row>
    <row r="226" spans="1:25" ht="15">
      <c r="A226" s="81"/>
      <c r="B226" s="7"/>
      <c r="C226" s="7"/>
      <c r="D226" s="7"/>
      <c r="E226" s="7"/>
      <c r="F226" s="7"/>
      <c r="G226" s="7"/>
      <c r="H226" s="7"/>
      <c r="J226" s="7"/>
      <c r="K226" s="7"/>
      <c r="L226" s="7"/>
      <c r="M226" s="7"/>
      <c r="N226" s="7"/>
      <c r="O226" s="7"/>
      <c r="P226" s="7"/>
      <c r="Q226" s="7"/>
      <c r="R226" s="7"/>
      <c r="S226" s="7"/>
      <c r="T226" s="7"/>
      <c r="U226" s="7"/>
      <c r="V226" s="7"/>
      <c r="W226" s="7"/>
      <c r="X226" s="7"/>
      <c r="Y226" s="7"/>
    </row>
    <row r="227" spans="1:25" ht="15">
      <c r="A227" s="81"/>
      <c r="B227" s="7"/>
      <c r="C227" s="7"/>
      <c r="D227" s="7"/>
      <c r="E227" s="7"/>
      <c r="F227" s="7"/>
      <c r="G227" s="7"/>
      <c r="H227" s="7"/>
      <c r="J227" s="7"/>
      <c r="K227" s="7"/>
      <c r="L227" s="7"/>
      <c r="M227" s="7"/>
      <c r="N227" s="7"/>
      <c r="O227" s="7"/>
      <c r="P227" s="7"/>
      <c r="Q227" s="7"/>
      <c r="R227" s="7"/>
      <c r="S227" s="7"/>
      <c r="T227" s="7"/>
      <c r="U227" s="7"/>
      <c r="V227" s="7"/>
      <c r="W227" s="7"/>
      <c r="X227" s="7"/>
      <c r="Y227" s="7"/>
    </row>
    <row r="228" spans="1:25" ht="15">
      <c r="A228" s="81"/>
      <c r="B228" s="7"/>
      <c r="C228" s="7"/>
      <c r="D228" s="7"/>
      <c r="E228" s="7"/>
      <c r="F228" s="7"/>
      <c r="G228" s="7"/>
      <c r="H228" s="7"/>
      <c r="J228" s="7"/>
      <c r="K228" s="7"/>
      <c r="L228" s="7"/>
      <c r="M228" s="7"/>
      <c r="N228" s="7"/>
      <c r="O228" s="7"/>
      <c r="P228" s="7"/>
      <c r="Q228" s="7"/>
      <c r="R228" s="7"/>
      <c r="S228" s="7"/>
      <c r="T228" s="7"/>
      <c r="U228" s="7"/>
      <c r="V228" s="7"/>
      <c r="W228" s="7"/>
      <c r="X228" s="7"/>
      <c r="Y228" s="7"/>
    </row>
    <row r="229" spans="1:25" ht="15">
      <c r="A229" s="81"/>
      <c r="B229" s="7"/>
      <c r="C229" s="7"/>
      <c r="D229" s="7"/>
      <c r="E229" s="7"/>
      <c r="F229" s="7"/>
      <c r="G229" s="7"/>
      <c r="H229" s="7"/>
      <c r="J229" s="7"/>
      <c r="K229" s="7"/>
      <c r="L229" s="7"/>
      <c r="M229" s="7"/>
      <c r="N229" s="7"/>
      <c r="O229" s="7"/>
      <c r="P229" s="7"/>
      <c r="Q229" s="7"/>
      <c r="R229" s="7"/>
      <c r="S229" s="7"/>
      <c r="T229" s="7"/>
      <c r="U229" s="7"/>
      <c r="V229" s="7"/>
      <c r="W229" s="7"/>
      <c r="X229" s="7"/>
      <c r="Y229" s="7"/>
    </row>
    <row r="230" spans="1:25" ht="15">
      <c r="A230" s="81"/>
      <c r="B230" s="7"/>
      <c r="C230" s="7"/>
      <c r="D230" s="7"/>
      <c r="E230" s="7"/>
      <c r="F230" s="7"/>
      <c r="G230" s="7"/>
      <c r="H230" s="7"/>
      <c r="J230" s="7"/>
      <c r="K230" s="7"/>
      <c r="L230" s="7"/>
      <c r="M230" s="7"/>
      <c r="N230" s="7"/>
      <c r="O230" s="7"/>
      <c r="P230" s="7"/>
      <c r="Q230" s="7"/>
      <c r="R230" s="7"/>
      <c r="S230" s="7"/>
      <c r="T230" s="7"/>
      <c r="U230" s="7"/>
      <c r="V230" s="7"/>
      <c r="W230" s="7"/>
      <c r="X230" s="7"/>
      <c r="Y230" s="7"/>
    </row>
    <row r="231" spans="1:25" ht="15">
      <c r="A231" s="81"/>
      <c r="B231" s="7"/>
      <c r="C231" s="7"/>
      <c r="D231" s="7"/>
      <c r="E231" s="7"/>
      <c r="F231" s="7"/>
      <c r="G231" s="7"/>
      <c r="H231" s="7"/>
      <c r="J231" s="7"/>
      <c r="K231" s="7"/>
      <c r="L231" s="7"/>
      <c r="M231" s="7"/>
      <c r="N231" s="7"/>
      <c r="O231" s="7"/>
      <c r="P231" s="7"/>
      <c r="Q231" s="7"/>
      <c r="R231" s="7"/>
      <c r="S231" s="7"/>
      <c r="T231" s="7"/>
      <c r="U231" s="7"/>
      <c r="V231" s="7"/>
      <c r="W231" s="7"/>
      <c r="X231" s="7"/>
      <c r="Y231" s="7"/>
    </row>
    <row r="232" spans="1:25" ht="15">
      <c r="A232" s="81"/>
      <c r="B232" s="7"/>
      <c r="C232" s="7"/>
      <c r="D232" s="7"/>
      <c r="E232" s="7"/>
      <c r="F232" s="7"/>
      <c r="G232" s="7"/>
      <c r="H232" s="7"/>
      <c r="J232" s="7"/>
      <c r="K232" s="7"/>
      <c r="L232" s="7"/>
      <c r="M232" s="7"/>
      <c r="N232" s="7"/>
      <c r="O232" s="7"/>
      <c r="P232" s="7"/>
      <c r="Q232" s="7"/>
      <c r="R232" s="7"/>
      <c r="S232" s="7"/>
      <c r="T232" s="7"/>
      <c r="U232" s="7"/>
      <c r="V232" s="7"/>
      <c r="W232" s="7"/>
      <c r="X232" s="7"/>
      <c r="Y232" s="7"/>
    </row>
    <row r="233" spans="1:25" ht="15">
      <c r="A233" s="81"/>
      <c r="B233" s="7"/>
      <c r="C233" s="7"/>
      <c r="D233" s="7"/>
      <c r="E233" s="7"/>
      <c r="F233" s="7"/>
      <c r="G233" s="7"/>
      <c r="H233" s="7"/>
      <c r="J233" s="7"/>
      <c r="K233" s="7"/>
      <c r="L233" s="7"/>
      <c r="M233" s="7"/>
      <c r="N233" s="7"/>
      <c r="O233" s="7"/>
      <c r="P233" s="7"/>
      <c r="Q233" s="7"/>
      <c r="R233" s="7"/>
      <c r="S233" s="7"/>
      <c r="T233" s="7"/>
      <c r="U233" s="7"/>
      <c r="V233" s="7"/>
      <c r="W233" s="7"/>
      <c r="X233" s="7"/>
      <c r="Y233" s="7"/>
    </row>
    <row r="234" spans="1:25" ht="15">
      <c r="A234" s="81"/>
      <c r="B234" s="7"/>
      <c r="C234" s="7"/>
      <c r="D234" s="7"/>
      <c r="E234" s="7"/>
      <c r="F234" s="7"/>
      <c r="G234" s="7"/>
      <c r="H234" s="7"/>
      <c r="J234" s="7"/>
      <c r="K234" s="7"/>
      <c r="L234" s="7"/>
      <c r="M234" s="7"/>
      <c r="N234" s="7"/>
      <c r="O234" s="7"/>
      <c r="P234" s="7"/>
      <c r="Q234" s="7"/>
      <c r="R234" s="7"/>
      <c r="S234" s="7"/>
      <c r="T234" s="7"/>
      <c r="U234" s="7"/>
      <c r="V234" s="7"/>
      <c r="W234" s="7"/>
      <c r="X234" s="7"/>
      <c r="Y234" s="7"/>
    </row>
    <row r="235" spans="1:25" ht="15">
      <c r="A235" s="81"/>
      <c r="B235" s="7"/>
      <c r="C235" s="7"/>
      <c r="D235" s="7"/>
      <c r="E235" s="7"/>
      <c r="F235" s="7"/>
      <c r="G235" s="7"/>
      <c r="H235" s="7"/>
      <c r="J235" s="7"/>
      <c r="K235" s="7"/>
      <c r="L235" s="7"/>
      <c r="M235" s="7"/>
      <c r="N235" s="7"/>
      <c r="O235" s="7"/>
      <c r="P235" s="7"/>
      <c r="Q235" s="7"/>
      <c r="R235" s="7"/>
      <c r="S235" s="7"/>
      <c r="T235" s="7"/>
      <c r="U235" s="7"/>
      <c r="V235" s="7"/>
      <c r="W235" s="7"/>
      <c r="X235" s="7"/>
      <c r="Y235" s="7"/>
    </row>
    <row r="236" spans="1:25" ht="15">
      <c r="A236" s="81"/>
      <c r="B236" s="7"/>
      <c r="C236" s="7"/>
      <c r="D236" s="7"/>
      <c r="E236" s="7"/>
      <c r="F236" s="7"/>
      <c r="G236" s="7"/>
      <c r="H236" s="7"/>
      <c r="J236" s="7"/>
      <c r="K236" s="7"/>
      <c r="L236" s="7"/>
      <c r="M236" s="7"/>
      <c r="N236" s="7"/>
      <c r="O236" s="7"/>
      <c r="P236" s="7"/>
      <c r="Q236" s="7"/>
      <c r="R236" s="7"/>
      <c r="S236" s="7"/>
      <c r="T236" s="7"/>
      <c r="U236" s="7"/>
      <c r="V236" s="7"/>
      <c r="W236" s="7"/>
      <c r="X236" s="7"/>
      <c r="Y236" s="7"/>
    </row>
    <row r="237" spans="1:25" ht="15">
      <c r="A237" s="81"/>
      <c r="B237" s="7"/>
      <c r="C237" s="7"/>
      <c r="D237" s="7"/>
      <c r="E237" s="7"/>
      <c r="F237" s="7"/>
      <c r="G237" s="7"/>
      <c r="H237" s="7"/>
      <c r="J237" s="7"/>
      <c r="K237" s="7"/>
      <c r="L237" s="7"/>
      <c r="M237" s="7"/>
      <c r="N237" s="7"/>
      <c r="O237" s="7"/>
      <c r="P237" s="7"/>
      <c r="Q237" s="7"/>
      <c r="R237" s="7"/>
      <c r="S237" s="7"/>
      <c r="T237" s="7"/>
      <c r="U237" s="7"/>
      <c r="V237" s="7"/>
      <c r="W237" s="7"/>
      <c r="X237" s="7"/>
      <c r="Y237" s="7"/>
    </row>
    <row r="238" spans="1:25" ht="15">
      <c r="A238" s="81"/>
      <c r="B238" s="7"/>
      <c r="C238" s="7"/>
      <c r="D238" s="7"/>
      <c r="E238" s="7"/>
      <c r="F238" s="7"/>
      <c r="G238" s="7"/>
      <c r="H238" s="7"/>
      <c r="J238" s="7"/>
      <c r="K238" s="7"/>
      <c r="L238" s="7"/>
      <c r="M238" s="7"/>
      <c r="N238" s="7"/>
      <c r="O238" s="7"/>
      <c r="P238" s="7"/>
      <c r="Q238" s="7"/>
      <c r="R238" s="7"/>
      <c r="S238" s="7"/>
      <c r="T238" s="7"/>
      <c r="U238" s="7"/>
      <c r="V238" s="7"/>
      <c r="W238" s="7"/>
      <c r="X238" s="7"/>
      <c r="Y238" s="7"/>
    </row>
    <row r="239" spans="1:25" ht="15">
      <c r="A239" s="81"/>
      <c r="B239" s="7"/>
      <c r="C239" s="7"/>
      <c r="D239" s="7"/>
      <c r="E239" s="7"/>
      <c r="F239" s="7"/>
      <c r="G239" s="7"/>
      <c r="H239" s="7"/>
      <c r="J239" s="7"/>
      <c r="K239" s="7"/>
      <c r="L239" s="7"/>
      <c r="M239" s="7"/>
      <c r="N239" s="7"/>
      <c r="O239" s="7"/>
      <c r="P239" s="7"/>
      <c r="Q239" s="7"/>
      <c r="R239" s="7"/>
      <c r="S239" s="7"/>
      <c r="T239" s="7"/>
      <c r="U239" s="7"/>
      <c r="V239" s="7"/>
      <c r="W239" s="7"/>
      <c r="X239" s="7"/>
      <c r="Y239" s="7"/>
    </row>
    <row r="240" spans="1:25" ht="15">
      <c r="A240" s="81"/>
      <c r="B240" s="7"/>
      <c r="C240" s="7"/>
      <c r="D240" s="7"/>
      <c r="E240" s="7"/>
      <c r="F240" s="7"/>
      <c r="G240" s="7"/>
      <c r="H240" s="7"/>
      <c r="J240" s="7"/>
      <c r="K240" s="7"/>
      <c r="L240" s="7"/>
      <c r="M240" s="7"/>
      <c r="N240" s="7"/>
      <c r="O240" s="7"/>
      <c r="P240" s="7"/>
      <c r="Q240" s="7"/>
      <c r="R240" s="7"/>
      <c r="S240" s="7"/>
      <c r="T240" s="7"/>
      <c r="U240" s="7"/>
      <c r="V240" s="7"/>
      <c r="W240" s="7"/>
      <c r="X240" s="7"/>
      <c r="Y240" s="7"/>
    </row>
    <row r="241" spans="1:25" ht="15">
      <c r="A241" s="81"/>
      <c r="B241" s="7"/>
      <c r="C241" s="7"/>
      <c r="D241" s="7"/>
      <c r="E241" s="7"/>
      <c r="F241" s="7"/>
      <c r="G241" s="7"/>
      <c r="H241" s="7"/>
      <c r="J241" s="7"/>
      <c r="K241" s="7"/>
      <c r="L241" s="7"/>
      <c r="M241" s="7"/>
      <c r="N241" s="7"/>
      <c r="O241" s="7"/>
      <c r="P241" s="7"/>
      <c r="Q241" s="7"/>
      <c r="R241" s="7"/>
      <c r="S241" s="7"/>
      <c r="T241" s="7"/>
      <c r="U241" s="7"/>
      <c r="V241" s="7"/>
      <c r="W241" s="7"/>
      <c r="X241" s="7"/>
      <c r="Y241" s="7"/>
    </row>
    <row r="242" spans="1:25" ht="15">
      <c r="A242" s="81"/>
      <c r="B242" s="7"/>
      <c r="C242" s="7"/>
      <c r="D242" s="7"/>
      <c r="E242" s="7"/>
      <c r="F242" s="7"/>
      <c r="G242" s="7"/>
      <c r="H242" s="7"/>
      <c r="J242" s="7"/>
      <c r="K242" s="7"/>
      <c r="L242" s="7"/>
      <c r="M242" s="7"/>
      <c r="N242" s="7"/>
      <c r="O242" s="7"/>
      <c r="P242" s="7"/>
      <c r="Q242" s="7"/>
      <c r="R242" s="7"/>
      <c r="S242" s="7"/>
      <c r="T242" s="7"/>
      <c r="U242" s="7"/>
      <c r="V242" s="7"/>
      <c r="W242" s="7"/>
      <c r="X242" s="7"/>
      <c r="Y242" s="7"/>
    </row>
    <row r="243" spans="1:25" ht="15">
      <c r="A243" s="81"/>
      <c r="B243" s="7"/>
      <c r="C243" s="7"/>
      <c r="D243" s="7"/>
      <c r="E243" s="7"/>
      <c r="F243" s="7"/>
      <c r="G243" s="7"/>
      <c r="H243" s="7"/>
      <c r="J243" s="7"/>
      <c r="K243" s="7"/>
      <c r="L243" s="7"/>
      <c r="M243" s="7"/>
      <c r="N243" s="7"/>
      <c r="O243" s="7"/>
      <c r="P243" s="7"/>
      <c r="Q243" s="7"/>
      <c r="R243" s="7"/>
      <c r="S243" s="7"/>
      <c r="T243" s="7"/>
      <c r="U243" s="7"/>
      <c r="V243" s="7"/>
      <c r="W243" s="7"/>
      <c r="X243" s="7"/>
      <c r="Y243" s="7"/>
    </row>
    <row r="244" spans="1:25" ht="15">
      <c r="A244" s="81"/>
      <c r="B244" s="7"/>
      <c r="C244" s="7"/>
      <c r="D244" s="7"/>
      <c r="E244" s="7"/>
      <c r="F244" s="7"/>
      <c r="G244" s="7"/>
      <c r="H244" s="7"/>
      <c r="J244" s="7"/>
      <c r="K244" s="7"/>
      <c r="L244" s="7"/>
      <c r="M244" s="7"/>
      <c r="N244" s="7"/>
      <c r="O244" s="7"/>
      <c r="P244" s="7"/>
      <c r="Q244" s="7"/>
      <c r="R244" s="7"/>
      <c r="S244" s="7"/>
      <c r="T244" s="7"/>
      <c r="U244" s="7"/>
      <c r="V244" s="7"/>
      <c r="W244" s="7"/>
      <c r="X244" s="7"/>
      <c r="Y244" s="7"/>
    </row>
    <row r="245" spans="1:25" ht="15">
      <c r="A245" s="81"/>
      <c r="B245" s="7"/>
      <c r="C245" s="7"/>
      <c r="D245" s="7"/>
      <c r="E245" s="7"/>
      <c r="F245" s="7"/>
      <c r="G245" s="7"/>
      <c r="H245" s="7"/>
      <c r="J245" s="7"/>
      <c r="K245" s="7"/>
      <c r="L245" s="7"/>
      <c r="M245" s="7"/>
      <c r="N245" s="7"/>
      <c r="O245" s="7"/>
      <c r="P245" s="7"/>
      <c r="Q245" s="7"/>
      <c r="R245" s="7"/>
      <c r="S245" s="7"/>
      <c r="T245" s="7"/>
      <c r="U245" s="7"/>
      <c r="V245" s="7"/>
      <c r="W245" s="7"/>
      <c r="X245" s="7"/>
      <c r="Y245" s="7"/>
    </row>
    <row r="246" spans="1:25" ht="15">
      <c r="A246" s="81"/>
      <c r="B246" s="7"/>
      <c r="C246" s="7"/>
      <c r="D246" s="7"/>
      <c r="E246" s="7"/>
      <c r="F246" s="7"/>
      <c r="G246" s="7"/>
      <c r="H246" s="7"/>
      <c r="J246" s="7"/>
      <c r="K246" s="7"/>
      <c r="L246" s="7"/>
      <c r="M246" s="7"/>
      <c r="N246" s="7"/>
      <c r="O246" s="7"/>
      <c r="P246" s="7"/>
      <c r="Q246" s="7"/>
      <c r="R246" s="7"/>
      <c r="S246" s="7"/>
      <c r="T246" s="7"/>
      <c r="U246" s="7"/>
      <c r="V246" s="7"/>
      <c r="W246" s="7"/>
      <c r="X246" s="7"/>
      <c r="Y246" s="7"/>
    </row>
    <row r="247" spans="1:25" ht="15">
      <c r="A247" s="81"/>
      <c r="B247" s="7"/>
      <c r="C247" s="7"/>
      <c r="D247" s="7"/>
      <c r="E247" s="7"/>
      <c r="F247" s="7"/>
      <c r="G247" s="7"/>
      <c r="H247" s="7"/>
      <c r="J247" s="7"/>
      <c r="K247" s="7"/>
      <c r="L247" s="7"/>
      <c r="M247" s="7"/>
      <c r="N247" s="7"/>
      <c r="O247" s="7"/>
      <c r="P247" s="7"/>
      <c r="Q247" s="7"/>
      <c r="R247" s="7"/>
      <c r="S247" s="7"/>
      <c r="T247" s="7"/>
      <c r="U247" s="7"/>
      <c r="V247" s="7"/>
      <c r="W247" s="7"/>
      <c r="X247" s="7"/>
      <c r="Y247" s="7"/>
    </row>
    <row r="248" spans="1:25" ht="15">
      <c r="A248" s="81"/>
      <c r="B248" s="7"/>
      <c r="C248" s="7"/>
      <c r="D248" s="7"/>
      <c r="E248" s="7"/>
      <c r="F248" s="7"/>
      <c r="G248" s="7"/>
      <c r="H248" s="7"/>
      <c r="J248" s="7"/>
      <c r="K248" s="7"/>
      <c r="L248" s="7"/>
      <c r="M248" s="7"/>
      <c r="N248" s="7"/>
      <c r="O248" s="7"/>
      <c r="P248" s="7"/>
      <c r="Q248" s="7"/>
      <c r="R248" s="7"/>
      <c r="S248" s="7"/>
      <c r="T248" s="7"/>
      <c r="U248" s="7"/>
      <c r="V248" s="7"/>
      <c r="W248" s="7"/>
      <c r="X248" s="7"/>
      <c r="Y248" s="7"/>
    </row>
    <row r="249" spans="1:25" ht="15">
      <c r="A249" s="81"/>
      <c r="B249" s="7"/>
      <c r="C249" s="7"/>
      <c r="D249" s="7"/>
      <c r="E249" s="7"/>
      <c r="F249" s="7"/>
      <c r="G249" s="7"/>
      <c r="H249" s="7"/>
      <c r="J249" s="7"/>
      <c r="K249" s="7"/>
      <c r="L249" s="7"/>
      <c r="M249" s="7"/>
      <c r="N249" s="7"/>
      <c r="O249" s="7"/>
      <c r="P249" s="7"/>
      <c r="Q249" s="7"/>
      <c r="R249" s="7"/>
      <c r="S249" s="7"/>
      <c r="T249" s="7"/>
      <c r="U249" s="7"/>
      <c r="V249" s="7"/>
      <c r="W249" s="7"/>
      <c r="X249" s="7"/>
      <c r="Y249" s="7"/>
    </row>
    <row r="250" spans="1:25" ht="15">
      <c r="A250" s="81"/>
      <c r="B250" s="7"/>
      <c r="C250" s="7"/>
      <c r="D250" s="7"/>
      <c r="E250" s="7"/>
      <c r="F250" s="7"/>
      <c r="G250" s="7"/>
      <c r="H250" s="7"/>
      <c r="J250" s="7"/>
      <c r="K250" s="7"/>
      <c r="L250" s="7"/>
      <c r="M250" s="7"/>
      <c r="N250" s="7"/>
      <c r="O250" s="7"/>
      <c r="P250" s="7"/>
      <c r="Q250" s="7"/>
      <c r="R250" s="7"/>
      <c r="S250" s="7"/>
      <c r="T250" s="7"/>
      <c r="U250" s="7"/>
      <c r="V250" s="7"/>
      <c r="W250" s="7"/>
      <c r="X250" s="7"/>
      <c r="Y250" s="7"/>
    </row>
    <row r="251" spans="1:25" ht="15">
      <c r="A251" s="81"/>
      <c r="B251" s="7"/>
      <c r="C251" s="7"/>
      <c r="D251" s="7"/>
      <c r="E251" s="7"/>
      <c r="F251" s="7"/>
      <c r="G251" s="7"/>
      <c r="H251" s="7"/>
      <c r="J251" s="7"/>
      <c r="K251" s="7"/>
      <c r="L251" s="7"/>
      <c r="M251" s="7"/>
      <c r="N251" s="7"/>
      <c r="O251" s="7"/>
      <c r="P251" s="7"/>
      <c r="Q251" s="7"/>
      <c r="R251" s="7"/>
      <c r="S251" s="7"/>
      <c r="T251" s="7"/>
      <c r="U251" s="7"/>
      <c r="V251" s="7"/>
      <c r="W251" s="7"/>
      <c r="X251" s="7"/>
      <c r="Y251" s="7"/>
    </row>
    <row r="252" spans="1:25" ht="15">
      <c r="A252" s="81"/>
      <c r="B252" s="7"/>
      <c r="C252" s="7"/>
      <c r="D252" s="7"/>
      <c r="E252" s="7"/>
      <c r="F252" s="7"/>
      <c r="G252" s="7"/>
      <c r="H252" s="7"/>
      <c r="J252" s="7"/>
      <c r="K252" s="7"/>
      <c r="L252" s="7"/>
      <c r="M252" s="7"/>
      <c r="N252" s="7"/>
      <c r="O252" s="7"/>
      <c r="P252" s="7"/>
      <c r="Q252" s="7"/>
      <c r="R252" s="7"/>
      <c r="S252" s="7"/>
      <c r="T252" s="7"/>
      <c r="U252" s="7"/>
      <c r="V252" s="7"/>
      <c r="W252" s="7"/>
      <c r="X252" s="7"/>
      <c r="Y252" s="7"/>
    </row>
    <row r="253" spans="1:25" ht="15">
      <c r="A253" s="81"/>
      <c r="B253" s="7"/>
      <c r="C253" s="7"/>
      <c r="D253" s="7"/>
      <c r="E253" s="7"/>
      <c r="F253" s="7"/>
      <c r="G253" s="7"/>
      <c r="H253" s="7"/>
      <c r="J253" s="7"/>
      <c r="K253" s="7"/>
      <c r="L253" s="7"/>
      <c r="M253" s="7"/>
      <c r="N253" s="7"/>
      <c r="O253" s="7"/>
      <c r="P253" s="7"/>
      <c r="Q253" s="7"/>
      <c r="R253" s="7"/>
      <c r="S253" s="7"/>
      <c r="T253" s="7"/>
      <c r="U253" s="7"/>
      <c r="V253" s="7"/>
      <c r="W253" s="7"/>
      <c r="X253" s="7"/>
      <c r="Y253" s="7"/>
    </row>
    <row r="254" spans="1:25" ht="15">
      <c r="A254" s="81"/>
      <c r="B254" s="7"/>
      <c r="C254" s="7"/>
      <c r="D254" s="7"/>
      <c r="E254" s="7"/>
      <c r="F254" s="7"/>
      <c r="G254" s="7"/>
      <c r="H254" s="7"/>
      <c r="J254" s="7"/>
      <c r="K254" s="7"/>
      <c r="L254" s="7"/>
      <c r="M254" s="7"/>
      <c r="N254" s="7"/>
      <c r="O254" s="7"/>
      <c r="P254" s="7"/>
      <c r="Q254" s="7"/>
      <c r="R254" s="7"/>
      <c r="S254" s="7"/>
      <c r="T254" s="7"/>
      <c r="U254" s="7"/>
      <c r="V254" s="7"/>
      <c r="W254" s="7"/>
      <c r="X254" s="7"/>
      <c r="Y254" s="7"/>
    </row>
    <row r="255" spans="1:25" ht="15">
      <c r="A255" s="81"/>
      <c r="B255" s="7"/>
      <c r="C255" s="7"/>
      <c r="D255" s="7"/>
      <c r="E255" s="7"/>
      <c r="F255" s="7"/>
      <c r="G255" s="7"/>
      <c r="H255" s="7"/>
      <c r="J255" s="7"/>
      <c r="K255" s="7"/>
      <c r="L255" s="7"/>
      <c r="M255" s="7"/>
      <c r="N255" s="7"/>
      <c r="O255" s="7"/>
      <c r="P255" s="7"/>
      <c r="Q255" s="7"/>
      <c r="R255" s="7"/>
      <c r="S255" s="7"/>
      <c r="T255" s="7"/>
      <c r="U255" s="7"/>
      <c r="V255" s="7"/>
      <c r="W255" s="7"/>
      <c r="X255" s="7"/>
      <c r="Y255" s="7"/>
    </row>
    <row r="256" spans="1:25" ht="15">
      <c r="A256" s="81"/>
      <c r="B256" s="7"/>
      <c r="C256" s="7"/>
      <c r="D256" s="7"/>
      <c r="E256" s="7"/>
      <c r="F256" s="7"/>
      <c r="G256" s="7"/>
      <c r="H256" s="7"/>
      <c r="J256" s="7"/>
      <c r="K256" s="7"/>
      <c r="L256" s="7"/>
      <c r="M256" s="7"/>
      <c r="N256" s="7"/>
      <c r="O256" s="7"/>
      <c r="P256" s="7"/>
      <c r="Q256" s="7"/>
      <c r="R256" s="7"/>
      <c r="S256" s="7"/>
      <c r="T256" s="7"/>
      <c r="U256" s="7"/>
      <c r="V256" s="7"/>
      <c r="W256" s="7"/>
      <c r="X256" s="7"/>
      <c r="Y256" s="7"/>
    </row>
    <row r="257" spans="1:25" ht="15">
      <c r="A257" s="81"/>
      <c r="B257" s="7"/>
      <c r="C257" s="7"/>
      <c r="D257" s="7"/>
      <c r="E257" s="7"/>
      <c r="F257" s="7"/>
      <c r="G257" s="7"/>
      <c r="H257" s="7"/>
      <c r="J257" s="7"/>
      <c r="K257" s="7"/>
      <c r="L257" s="7"/>
      <c r="M257" s="7"/>
      <c r="N257" s="7"/>
      <c r="O257" s="7"/>
      <c r="P257" s="7"/>
      <c r="Q257" s="7"/>
      <c r="R257" s="7"/>
      <c r="S257" s="7"/>
      <c r="T257" s="7"/>
      <c r="U257" s="7"/>
      <c r="V257" s="7"/>
      <c r="W257" s="7"/>
      <c r="X257" s="7"/>
      <c r="Y257" s="7"/>
    </row>
    <row r="258" spans="1:25" ht="15">
      <c r="A258" s="81"/>
      <c r="B258" s="7"/>
      <c r="C258" s="7"/>
      <c r="D258" s="7"/>
      <c r="E258" s="7"/>
      <c r="F258" s="7"/>
      <c r="G258" s="7"/>
      <c r="H258" s="7"/>
      <c r="J258" s="7"/>
      <c r="K258" s="7"/>
      <c r="L258" s="7"/>
      <c r="M258" s="7"/>
      <c r="N258" s="7"/>
      <c r="O258" s="7"/>
      <c r="P258" s="7"/>
      <c r="Q258" s="7"/>
      <c r="R258" s="7"/>
      <c r="S258" s="7"/>
      <c r="T258" s="7"/>
      <c r="U258" s="7"/>
      <c r="V258" s="7"/>
      <c r="W258" s="7"/>
      <c r="X258" s="7"/>
      <c r="Y258" s="7"/>
    </row>
    <row r="259" spans="1:25" ht="15">
      <c r="A259" s="81"/>
      <c r="B259" s="7"/>
      <c r="C259" s="7"/>
      <c r="D259" s="7"/>
      <c r="E259" s="7"/>
      <c r="F259" s="7"/>
      <c r="G259" s="7"/>
      <c r="H259" s="7"/>
      <c r="J259" s="7"/>
      <c r="K259" s="7"/>
      <c r="L259" s="7"/>
      <c r="M259" s="7"/>
      <c r="N259" s="7"/>
      <c r="O259" s="7"/>
      <c r="P259" s="7"/>
      <c r="Q259" s="7"/>
      <c r="R259" s="7"/>
      <c r="S259" s="7"/>
      <c r="T259" s="7"/>
      <c r="U259" s="7"/>
      <c r="V259" s="7"/>
      <c r="W259" s="7"/>
      <c r="X259" s="7"/>
      <c r="Y259" s="7"/>
    </row>
    <row r="260" spans="1:25" ht="15">
      <c r="A260" s="81"/>
      <c r="B260" s="7"/>
      <c r="C260" s="7"/>
      <c r="D260" s="7"/>
      <c r="E260" s="7"/>
      <c r="F260" s="7"/>
      <c r="G260" s="7"/>
      <c r="H260" s="7"/>
      <c r="J260" s="7"/>
      <c r="K260" s="7"/>
      <c r="L260" s="7"/>
      <c r="M260" s="7"/>
      <c r="N260" s="7"/>
      <c r="O260" s="7"/>
      <c r="P260" s="7"/>
      <c r="Q260" s="7"/>
      <c r="R260" s="7"/>
      <c r="S260" s="7"/>
      <c r="T260" s="7"/>
      <c r="U260" s="7"/>
      <c r="V260" s="7"/>
      <c r="W260" s="7"/>
      <c r="X260" s="7"/>
      <c r="Y260" s="7"/>
    </row>
    <row r="261" spans="1:25" ht="15">
      <c r="A261" s="81"/>
      <c r="B261" s="7"/>
      <c r="C261" s="7"/>
      <c r="D261" s="7"/>
      <c r="E261" s="7"/>
      <c r="F261" s="7"/>
      <c r="G261" s="7"/>
      <c r="H261" s="7"/>
      <c r="J261" s="7"/>
      <c r="K261" s="7"/>
      <c r="L261" s="7"/>
      <c r="M261" s="7"/>
      <c r="N261" s="7"/>
      <c r="O261" s="7"/>
      <c r="P261" s="7"/>
      <c r="Q261" s="7"/>
      <c r="R261" s="7"/>
      <c r="S261" s="7"/>
      <c r="T261" s="7"/>
      <c r="U261" s="7"/>
      <c r="V261" s="7"/>
      <c r="W261" s="7"/>
      <c r="X261" s="7"/>
      <c r="Y261" s="7"/>
    </row>
    <row r="262" spans="1:25" ht="15">
      <c r="A262" s="81"/>
      <c r="B262" s="7"/>
      <c r="C262" s="7"/>
      <c r="D262" s="7"/>
      <c r="E262" s="7"/>
      <c r="F262" s="7"/>
      <c r="G262" s="7"/>
      <c r="H262" s="7"/>
      <c r="J262" s="7"/>
      <c r="K262" s="7"/>
      <c r="L262" s="7"/>
      <c r="M262" s="7"/>
      <c r="N262" s="7"/>
      <c r="O262" s="7"/>
      <c r="P262" s="7"/>
      <c r="Q262" s="7"/>
      <c r="R262" s="7"/>
      <c r="S262" s="7"/>
      <c r="T262" s="7"/>
      <c r="U262" s="7"/>
      <c r="V262" s="7"/>
      <c r="W262" s="7"/>
      <c r="X262" s="7"/>
      <c r="Y262" s="7"/>
    </row>
    <row r="263" spans="1:25" ht="15">
      <c r="A263" s="81"/>
      <c r="B263" s="7"/>
      <c r="C263" s="7"/>
      <c r="D263" s="7"/>
      <c r="E263" s="7"/>
      <c r="F263" s="7"/>
      <c r="G263" s="7"/>
      <c r="H263" s="7"/>
      <c r="J263" s="7"/>
      <c r="K263" s="7"/>
      <c r="L263" s="7"/>
      <c r="M263" s="7"/>
      <c r="N263" s="7"/>
      <c r="O263" s="7"/>
      <c r="P263" s="7"/>
      <c r="Q263" s="7"/>
      <c r="R263" s="7"/>
      <c r="S263" s="7"/>
      <c r="T263" s="7"/>
      <c r="U263" s="7"/>
      <c r="V263" s="7"/>
      <c r="W263" s="7"/>
      <c r="X263" s="7"/>
      <c r="Y263" s="7"/>
    </row>
    <row r="264" spans="1:25" ht="15">
      <c r="A264" s="81"/>
      <c r="B264" s="7"/>
      <c r="C264" s="7"/>
      <c r="D264" s="7"/>
      <c r="E264" s="7"/>
      <c r="F264" s="7"/>
      <c r="G264" s="7"/>
      <c r="H264" s="7"/>
      <c r="J264" s="7"/>
      <c r="K264" s="7"/>
      <c r="L264" s="7"/>
      <c r="M264" s="7"/>
      <c r="N264" s="7"/>
      <c r="O264" s="7"/>
      <c r="P264" s="7"/>
      <c r="Q264" s="7"/>
      <c r="R264" s="7"/>
      <c r="S264" s="7"/>
      <c r="T264" s="7"/>
      <c r="U264" s="7"/>
      <c r="V264" s="7"/>
      <c r="W264" s="7"/>
      <c r="X264" s="7"/>
      <c r="Y264" s="7"/>
    </row>
    <row r="265" spans="1:25" ht="15">
      <c r="A265" s="81"/>
      <c r="B265" s="7"/>
      <c r="C265" s="7"/>
      <c r="D265" s="7"/>
      <c r="E265" s="7"/>
      <c r="F265" s="7"/>
      <c r="G265" s="7"/>
      <c r="H265" s="7"/>
      <c r="J265" s="7"/>
      <c r="K265" s="7"/>
      <c r="L265" s="7"/>
      <c r="M265" s="7"/>
      <c r="N265" s="7"/>
      <c r="O265" s="7"/>
      <c r="P265" s="7"/>
      <c r="Q265" s="7"/>
      <c r="R265" s="7"/>
      <c r="S265" s="7"/>
      <c r="T265" s="7"/>
      <c r="U265" s="7"/>
      <c r="V265" s="7"/>
      <c r="W265" s="7"/>
      <c r="X265" s="7"/>
      <c r="Y265" s="7"/>
    </row>
    <row r="266" spans="1:25" ht="15">
      <c r="A266" s="81"/>
      <c r="B266" s="7"/>
      <c r="C266" s="7"/>
      <c r="D266" s="7"/>
      <c r="E266" s="7"/>
      <c r="F266" s="7"/>
      <c r="G266" s="7"/>
      <c r="H266" s="7"/>
      <c r="J266" s="7"/>
      <c r="K266" s="7"/>
      <c r="L266" s="7"/>
      <c r="M266" s="7"/>
      <c r="N266" s="7"/>
      <c r="O266" s="7"/>
      <c r="P266" s="7"/>
      <c r="Q266" s="7"/>
      <c r="R266" s="7"/>
      <c r="S266" s="7"/>
      <c r="T266" s="7"/>
      <c r="U266" s="7"/>
      <c r="V266" s="7"/>
      <c r="W266" s="7"/>
      <c r="X266" s="7"/>
      <c r="Y266" s="7"/>
    </row>
    <row r="267" spans="1:25" ht="15">
      <c r="A267" s="81"/>
      <c r="B267" s="7"/>
      <c r="C267" s="7"/>
      <c r="D267" s="7"/>
      <c r="E267" s="7"/>
      <c r="F267" s="7"/>
      <c r="G267" s="7"/>
      <c r="H267" s="7"/>
      <c r="J267" s="7"/>
      <c r="K267" s="7"/>
      <c r="L267" s="7"/>
      <c r="M267" s="7"/>
      <c r="N267" s="7"/>
      <c r="O267" s="7"/>
      <c r="P267" s="7"/>
      <c r="Q267" s="7"/>
      <c r="R267" s="7"/>
      <c r="S267" s="7"/>
      <c r="T267" s="7"/>
      <c r="U267" s="7"/>
      <c r="V267" s="7"/>
      <c r="W267" s="7"/>
      <c r="X267" s="7"/>
      <c r="Y267" s="7"/>
    </row>
    <row r="268" spans="1:25" ht="15">
      <c r="A268" s="81"/>
      <c r="B268" s="7"/>
      <c r="C268" s="7"/>
      <c r="D268" s="7"/>
      <c r="E268" s="7"/>
      <c r="F268" s="7"/>
      <c r="G268" s="7"/>
      <c r="H268" s="7"/>
      <c r="J268" s="7"/>
      <c r="K268" s="7"/>
      <c r="L268" s="7"/>
      <c r="M268" s="7"/>
      <c r="N268" s="7"/>
      <c r="O268" s="7"/>
      <c r="P268" s="7"/>
      <c r="Q268" s="7"/>
      <c r="R268" s="7"/>
      <c r="S268" s="7"/>
      <c r="T268" s="7"/>
      <c r="U268" s="7"/>
      <c r="V268" s="7"/>
      <c r="W268" s="7"/>
      <c r="X268" s="7"/>
      <c r="Y268" s="7"/>
    </row>
    <row r="269" spans="1:25" ht="15">
      <c r="A269" s="81"/>
      <c r="B269" s="7"/>
      <c r="C269" s="7"/>
      <c r="D269" s="7"/>
      <c r="E269" s="7"/>
      <c r="F269" s="7"/>
      <c r="G269" s="7"/>
      <c r="H269" s="7"/>
      <c r="J269" s="7"/>
      <c r="K269" s="7"/>
      <c r="L269" s="7"/>
      <c r="M269" s="7"/>
      <c r="N269" s="7"/>
      <c r="O269" s="7"/>
      <c r="P269" s="7"/>
      <c r="Q269" s="7"/>
      <c r="R269" s="7"/>
      <c r="S269" s="7"/>
      <c r="T269" s="7"/>
      <c r="U269" s="7"/>
      <c r="V269" s="7"/>
      <c r="W269" s="7"/>
      <c r="X269" s="7"/>
      <c r="Y269" s="7"/>
    </row>
    <row r="270" spans="1:25" ht="15">
      <c r="A270" s="81"/>
      <c r="B270" s="7"/>
      <c r="C270" s="7"/>
      <c r="D270" s="7"/>
      <c r="E270" s="7"/>
      <c r="F270" s="7"/>
      <c r="G270" s="7"/>
      <c r="H270" s="7"/>
      <c r="J270" s="7"/>
      <c r="K270" s="7"/>
      <c r="L270" s="7"/>
      <c r="M270" s="7"/>
      <c r="N270" s="7"/>
      <c r="O270" s="7"/>
      <c r="P270" s="7"/>
      <c r="Q270" s="7"/>
      <c r="R270" s="7"/>
      <c r="S270" s="7"/>
      <c r="T270" s="7"/>
      <c r="U270" s="7"/>
      <c r="V270" s="7"/>
      <c r="W270" s="7"/>
      <c r="X270" s="7"/>
      <c r="Y270" s="7"/>
    </row>
    <row r="271" spans="1:25" ht="15">
      <c r="A271" s="81"/>
      <c r="B271" s="7"/>
      <c r="C271" s="7"/>
      <c r="D271" s="7"/>
      <c r="E271" s="7"/>
      <c r="F271" s="7"/>
      <c r="G271" s="7"/>
      <c r="H271" s="7"/>
      <c r="J271" s="7"/>
      <c r="K271" s="7"/>
      <c r="L271" s="7"/>
      <c r="M271" s="7"/>
      <c r="N271" s="7"/>
      <c r="O271" s="7"/>
      <c r="P271" s="7"/>
      <c r="Q271" s="7"/>
      <c r="R271" s="7"/>
      <c r="S271" s="7"/>
      <c r="T271" s="7"/>
      <c r="U271" s="7"/>
      <c r="V271" s="7"/>
      <c r="W271" s="7"/>
      <c r="X271" s="7"/>
      <c r="Y271" s="7"/>
    </row>
    <row r="272" spans="1:25" ht="15">
      <c r="A272" s="81"/>
      <c r="B272" s="7"/>
      <c r="C272" s="7"/>
      <c r="D272" s="7"/>
      <c r="E272" s="7"/>
      <c r="F272" s="7"/>
      <c r="G272" s="7"/>
      <c r="H272" s="7"/>
      <c r="J272" s="7"/>
      <c r="K272" s="7"/>
      <c r="L272" s="7"/>
      <c r="M272" s="7"/>
      <c r="N272" s="7"/>
      <c r="O272" s="7"/>
      <c r="P272" s="7"/>
      <c r="Q272" s="7"/>
      <c r="R272" s="7"/>
      <c r="S272" s="7"/>
      <c r="T272" s="7"/>
      <c r="U272" s="7"/>
      <c r="V272" s="7"/>
      <c r="W272" s="7"/>
      <c r="X272" s="7"/>
      <c r="Y272" s="7"/>
    </row>
    <row r="273" spans="1:25" ht="15">
      <c r="A273" s="81"/>
      <c r="B273" s="7"/>
      <c r="C273" s="7"/>
      <c r="D273" s="7"/>
      <c r="E273" s="7"/>
      <c r="F273" s="7"/>
      <c r="G273" s="7"/>
      <c r="H273" s="7"/>
      <c r="J273" s="7"/>
      <c r="K273" s="7"/>
      <c r="L273" s="7"/>
      <c r="M273" s="7"/>
      <c r="N273" s="7"/>
      <c r="O273" s="7"/>
      <c r="P273" s="7"/>
      <c r="Q273" s="7"/>
      <c r="R273" s="7"/>
      <c r="S273" s="7"/>
      <c r="T273" s="7"/>
      <c r="U273" s="7"/>
      <c r="V273" s="7"/>
      <c r="W273" s="7"/>
      <c r="X273" s="7"/>
      <c r="Y273" s="7"/>
    </row>
    <row r="274" spans="1:25" ht="15">
      <c r="A274" s="81"/>
      <c r="B274" s="7"/>
      <c r="C274" s="7"/>
      <c r="D274" s="7"/>
      <c r="E274" s="7"/>
      <c r="F274" s="7"/>
      <c r="G274" s="7"/>
      <c r="H274" s="7"/>
      <c r="J274" s="7"/>
      <c r="K274" s="7"/>
      <c r="L274" s="7"/>
      <c r="M274" s="7"/>
      <c r="N274" s="7"/>
      <c r="O274" s="7"/>
      <c r="P274" s="7"/>
      <c r="Q274" s="7"/>
      <c r="R274" s="7"/>
      <c r="S274" s="7"/>
      <c r="T274" s="7"/>
      <c r="U274" s="7"/>
      <c r="V274" s="7"/>
      <c r="W274" s="7"/>
      <c r="X274" s="7"/>
      <c r="Y274" s="7"/>
    </row>
    <row r="275" spans="1:25" ht="15">
      <c r="A275" s="81"/>
      <c r="B275" s="7"/>
      <c r="C275" s="7"/>
      <c r="D275" s="7"/>
      <c r="E275" s="7"/>
      <c r="F275" s="7"/>
      <c r="G275" s="7"/>
      <c r="H275" s="7"/>
      <c r="J275" s="7"/>
      <c r="K275" s="7"/>
      <c r="L275" s="7"/>
      <c r="M275" s="7"/>
      <c r="N275" s="7"/>
      <c r="O275" s="7"/>
      <c r="P275" s="7"/>
      <c r="Q275" s="7"/>
      <c r="R275" s="7"/>
      <c r="S275" s="7"/>
      <c r="T275" s="7"/>
      <c r="U275" s="7"/>
      <c r="V275" s="7"/>
      <c r="W275" s="7"/>
      <c r="X275" s="7"/>
      <c r="Y275" s="7"/>
    </row>
    <row r="276" spans="1:25" ht="15">
      <c r="A276" s="81"/>
      <c r="B276" s="7"/>
      <c r="C276" s="7"/>
      <c r="D276" s="7"/>
      <c r="E276" s="7"/>
      <c r="F276" s="7"/>
      <c r="G276" s="7"/>
      <c r="H276" s="7"/>
      <c r="J276" s="7"/>
      <c r="K276" s="7"/>
      <c r="L276" s="7"/>
      <c r="M276" s="7"/>
      <c r="N276" s="7"/>
      <c r="O276" s="7"/>
      <c r="P276" s="7"/>
      <c r="Q276" s="7"/>
      <c r="R276" s="7"/>
      <c r="S276" s="7"/>
      <c r="T276" s="7"/>
      <c r="U276" s="7"/>
      <c r="V276" s="7"/>
      <c r="W276" s="7"/>
      <c r="X276" s="7"/>
      <c r="Y276" s="7"/>
    </row>
    <row r="277" spans="1:25" ht="15">
      <c r="A277" s="81"/>
      <c r="B277" s="7"/>
      <c r="C277" s="7"/>
      <c r="D277" s="7"/>
      <c r="E277" s="7"/>
      <c r="F277" s="7"/>
      <c r="G277" s="7"/>
      <c r="H277" s="7"/>
      <c r="J277" s="7"/>
      <c r="K277" s="7"/>
      <c r="L277" s="7"/>
      <c r="M277" s="7"/>
      <c r="N277" s="7"/>
      <c r="O277" s="7"/>
      <c r="P277" s="7"/>
      <c r="Q277" s="7"/>
      <c r="R277" s="7"/>
      <c r="S277" s="7"/>
      <c r="T277" s="7"/>
      <c r="U277" s="7"/>
      <c r="V277" s="7"/>
      <c r="W277" s="7"/>
      <c r="X277" s="7"/>
      <c r="Y277" s="7"/>
    </row>
    <row r="278" spans="1:25" ht="15">
      <c r="A278" s="81"/>
      <c r="B278" s="7"/>
      <c r="C278" s="7"/>
      <c r="D278" s="7"/>
      <c r="E278" s="7"/>
      <c r="F278" s="7"/>
      <c r="G278" s="7"/>
      <c r="H278" s="7"/>
      <c r="J278" s="7"/>
      <c r="K278" s="7"/>
      <c r="L278" s="7"/>
      <c r="M278" s="7"/>
      <c r="N278" s="7"/>
      <c r="O278" s="7"/>
      <c r="P278" s="7"/>
      <c r="Q278" s="7"/>
      <c r="R278" s="7"/>
      <c r="S278" s="7"/>
      <c r="T278" s="7"/>
      <c r="U278" s="7"/>
      <c r="V278" s="7"/>
      <c r="W278" s="7"/>
      <c r="X278" s="7"/>
      <c r="Y278" s="7"/>
    </row>
    <row r="279" spans="1:25" ht="15">
      <c r="A279" s="81"/>
      <c r="B279" s="7"/>
      <c r="C279" s="7"/>
      <c r="D279" s="7"/>
      <c r="E279" s="7"/>
      <c r="F279" s="7"/>
      <c r="G279" s="7"/>
      <c r="H279" s="7"/>
      <c r="J279" s="7"/>
      <c r="K279" s="7"/>
      <c r="L279" s="7"/>
      <c r="M279" s="7"/>
      <c r="N279" s="7"/>
      <c r="O279" s="7"/>
      <c r="P279" s="7"/>
      <c r="Q279" s="7"/>
      <c r="R279" s="7"/>
      <c r="S279" s="7"/>
      <c r="T279" s="7"/>
      <c r="U279" s="7"/>
      <c r="V279" s="7"/>
      <c r="W279" s="7"/>
      <c r="X279" s="7"/>
      <c r="Y279" s="7"/>
    </row>
    <row r="280" spans="1:25" ht="15">
      <c r="A280" s="81"/>
      <c r="B280" s="7"/>
      <c r="C280" s="7"/>
      <c r="D280" s="7"/>
      <c r="E280" s="7"/>
      <c r="F280" s="7"/>
      <c r="G280" s="7"/>
      <c r="H280" s="7"/>
      <c r="J280" s="7"/>
      <c r="K280" s="7"/>
      <c r="L280" s="7"/>
      <c r="M280" s="7"/>
      <c r="N280" s="7"/>
      <c r="O280" s="7"/>
      <c r="P280" s="7"/>
      <c r="Q280" s="7"/>
      <c r="R280" s="7"/>
      <c r="S280" s="7"/>
      <c r="T280" s="7"/>
      <c r="U280" s="7"/>
      <c r="V280" s="7"/>
      <c r="W280" s="7"/>
      <c r="X280" s="7"/>
      <c r="Y280" s="7"/>
    </row>
    <row r="281" spans="1:25" ht="15">
      <c r="A281" s="81"/>
      <c r="B281" s="7"/>
      <c r="C281" s="7"/>
      <c r="D281" s="7"/>
      <c r="E281" s="7"/>
      <c r="F281" s="7"/>
      <c r="G281" s="7"/>
      <c r="H281" s="7"/>
      <c r="J281" s="7"/>
      <c r="K281" s="7"/>
      <c r="L281" s="7"/>
      <c r="M281" s="7"/>
      <c r="N281" s="7"/>
      <c r="O281" s="7"/>
      <c r="P281" s="7"/>
      <c r="Q281" s="7"/>
      <c r="R281" s="7"/>
      <c r="S281" s="7"/>
      <c r="T281" s="7"/>
      <c r="U281" s="7"/>
      <c r="V281" s="7"/>
      <c r="W281" s="7"/>
      <c r="X281" s="7"/>
      <c r="Y281" s="7"/>
    </row>
    <row r="282" spans="1:25" ht="15">
      <c r="A282" s="81"/>
      <c r="B282" s="7"/>
      <c r="C282" s="7"/>
      <c r="D282" s="7"/>
      <c r="E282" s="7"/>
      <c r="F282" s="7"/>
      <c r="G282" s="7"/>
      <c r="H282" s="7"/>
      <c r="J282" s="7"/>
      <c r="K282" s="7"/>
      <c r="L282" s="7"/>
      <c r="M282" s="7"/>
      <c r="N282" s="7"/>
      <c r="O282" s="7"/>
      <c r="P282" s="7"/>
      <c r="Q282" s="7"/>
      <c r="R282" s="7"/>
      <c r="S282" s="7"/>
      <c r="T282" s="7"/>
      <c r="U282" s="7"/>
      <c r="V282" s="7"/>
      <c r="W282" s="7"/>
      <c r="X282" s="7"/>
      <c r="Y282" s="7"/>
    </row>
    <row r="283" spans="1:25" ht="15">
      <c r="A283" s="81"/>
      <c r="B283" s="7"/>
      <c r="C283" s="7"/>
      <c r="D283" s="7"/>
      <c r="E283" s="7"/>
      <c r="F283" s="7"/>
      <c r="G283" s="7"/>
      <c r="H283" s="7"/>
      <c r="J283" s="7"/>
      <c r="K283" s="7"/>
      <c r="L283" s="7"/>
      <c r="M283" s="7"/>
      <c r="N283" s="7"/>
      <c r="O283" s="7"/>
      <c r="P283" s="7"/>
      <c r="Q283" s="7"/>
      <c r="R283" s="7"/>
      <c r="S283" s="7"/>
      <c r="T283" s="7"/>
      <c r="U283" s="7"/>
      <c r="V283" s="7"/>
      <c r="W283" s="7"/>
      <c r="X283" s="7"/>
      <c r="Y283" s="7"/>
    </row>
    <row r="284" spans="1:25" ht="15">
      <c r="A284" s="81"/>
      <c r="B284" s="7"/>
      <c r="C284" s="7"/>
      <c r="D284" s="7"/>
      <c r="E284" s="7"/>
      <c r="F284" s="7"/>
      <c r="G284" s="7"/>
      <c r="H284" s="7"/>
      <c r="J284" s="7"/>
      <c r="K284" s="7"/>
      <c r="L284" s="7"/>
      <c r="M284" s="7"/>
      <c r="N284" s="7"/>
      <c r="O284" s="7"/>
      <c r="P284" s="7"/>
      <c r="Q284" s="7"/>
      <c r="R284" s="7"/>
      <c r="S284" s="7"/>
      <c r="T284" s="7"/>
      <c r="U284" s="7"/>
      <c r="V284" s="7"/>
      <c r="W284" s="7"/>
      <c r="X284" s="7"/>
      <c r="Y284" s="7"/>
    </row>
    <row r="285" spans="1:25" ht="15">
      <c r="A285" s="81"/>
      <c r="B285" s="7"/>
      <c r="C285" s="7"/>
      <c r="D285" s="7"/>
      <c r="E285" s="7"/>
      <c r="F285" s="7"/>
      <c r="G285" s="7"/>
      <c r="H285" s="7"/>
      <c r="J285" s="7"/>
      <c r="K285" s="7"/>
      <c r="L285" s="7"/>
      <c r="M285" s="7"/>
      <c r="N285" s="7"/>
      <c r="O285" s="7"/>
      <c r="P285" s="7"/>
      <c r="Q285" s="7"/>
      <c r="R285" s="7"/>
      <c r="S285" s="7"/>
      <c r="T285" s="7"/>
      <c r="U285" s="7"/>
      <c r="V285" s="7"/>
      <c r="W285" s="7"/>
      <c r="X285" s="7"/>
      <c r="Y285" s="7"/>
    </row>
    <row r="286" spans="1:25" ht="15">
      <c r="A286" s="81"/>
      <c r="B286" s="7"/>
      <c r="C286" s="7"/>
      <c r="D286" s="7"/>
      <c r="E286" s="7"/>
      <c r="F286" s="7"/>
      <c r="G286" s="7"/>
      <c r="H286" s="7"/>
      <c r="J286" s="7"/>
      <c r="K286" s="7"/>
      <c r="L286" s="7"/>
      <c r="M286" s="7"/>
      <c r="N286" s="7"/>
      <c r="O286" s="7"/>
      <c r="P286" s="7"/>
      <c r="Q286" s="7"/>
      <c r="R286" s="7"/>
      <c r="S286" s="7"/>
      <c r="T286" s="7"/>
      <c r="U286" s="7"/>
      <c r="V286" s="7"/>
      <c r="W286" s="7"/>
      <c r="X286" s="7"/>
      <c r="Y286" s="7"/>
    </row>
    <row r="287" spans="1:25" ht="15">
      <c r="A287" s="81"/>
      <c r="B287" s="7"/>
      <c r="C287" s="7"/>
      <c r="D287" s="7"/>
      <c r="E287" s="7"/>
      <c r="F287" s="7"/>
      <c r="G287" s="7"/>
      <c r="H287" s="7"/>
      <c r="J287" s="7"/>
      <c r="K287" s="7"/>
      <c r="L287" s="7"/>
      <c r="M287" s="7"/>
      <c r="N287" s="7"/>
      <c r="O287" s="7"/>
      <c r="P287" s="7"/>
      <c r="Q287" s="7"/>
      <c r="R287" s="7"/>
      <c r="S287" s="7"/>
      <c r="T287" s="7"/>
      <c r="U287" s="7"/>
      <c r="V287" s="7"/>
      <c r="W287" s="7"/>
      <c r="X287" s="7"/>
      <c r="Y287" s="7"/>
    </row>
    <row r="288" spans="1:25" ht="15">
      <c r="A288" s="81"/>
      <c r="B288" s="7"/>
      <c r="C288" s="7"/>
      <c r="D288" s="7"/>
      <c r="E288" s="7"/>
      <c r="F288" s="7"/>
      <c r="G288" s="7"/>
      <c r="H288" s="7"/>
      <c r="J288" s="7"/>
      <c r="K288" s="7"/>
      <c r="L288" s="7"/>
      <c r="M288" s="7"/>
      <c r="N288" s="7"/>
      <c r="O288" s="7"/>
      <c r="P288" s="7"/>
      <c r="Q288" s="7"/>
      <c r="R288" s="7"/>
      <c r="S288" s="7"/>
      <c r="T288" s="7"/>
      <c r="U288" s="7"/>
      <c r="V288" s="7"/>
      <c r="W288" s="7"/>
      <c r="X288" s="7"/>
      <c r="Y288" s="7"/>
    </row>
    <row r="289" spans="1:25" ht="15">
      <c r="A289" s="81"/>
      <c r="B289" s="7"/>
      <c r="C289" s="7"/>
      <c r="D289" s="7"/>
      <c r="E289" s="7"/>
      <c r="F289" s="7"/>
      <c r="G289" s="7"/>
      <c r="H289" s="7"/>
      <c r="J289" s="7"/>
      <c r="K289" s="7"/>
      <c r="L289" s="7"/>
      <c r="M289" s="7"/>
      <c r="N289" s="7"/>
      <c r="O289" s="7"/>
      <c r="P289" s="7"/>
      <c r="Q289" s="7"/>
      <c r="R289" s="7"/>
      <c r="S289" s="7"/>
      <c r="T289" s="7"/>
      <c r="U289" s="7"/>
      <c r="V289" s="7"/>
      <c r="W289" s="7"/>
      <c r="X289" s="7"/>
      <c r="Y289" s="7"/>
    </row>
    <row r="290" spans="1:25" ht="15">
      <c r="A290" s="81"/>
      <c r="B290" s="7"/>
      <c r="C290" s="7"/>
      <c r="D290" s="7"/>
      <c r="E290" s="7"/>
      <c r="F290" s="7"/>
      <c r="G290" s="7"/>
      <c r="H290" s="7"/>
      <c r="J290" s="7"/>
      <c r="K290" s="7"/>
      <c r="L290" s="7"/>
      <c r="M290" s="7"/>
      <c r="N290" s="7"/>
      <c r="O290" s="7"/>
      <c r="P290" s="7"/>
      <c r="Q290" s="7"/>
      <c r="R290" s="7"/>
      <c r="S290" s="7"/>
      <c r="T290" s="7"/>
      <c r="U290" s="7"/>
      <c r="V290" s="7"/>
      <c r="W290" s="7"/>
      <c r="X290" s="7"/>
      <c r="Y290" s="7"/>
    </row>
    <row r="291" spans="1:25" ht="15">
      <c r="A291" s="81"/>
      <c r="B291" s="7"/>
      <c r="C291" s="7"/>
      <c r="D291" s="7"/>
      <c r="E291" s="7"/>
      <c r="F291" s="7"/>
      <c r="G291" s="7"/>
      <c r="H291" s="7"/>
      <c r="J291" s="7"/>
      <c r="K291" s="7"/>
      <c r="L291" s="7"/>
      <c r="M291" s="7"/>
      <c r="N291" s="7"/>
      <c r="O291" s="7"/>
      <c r="P291" s="7"/>
      <c r="Q291" s="7"/>
      <c r="R291" s="7"/>
      <c r="S291" s="7"/>
      <c r="T291" s="7"/>
      <c r="U291" s="7"/>
      <c r="V291" s="7"/>
      <c r="W291" s="7"/>
      <c r="X291" s="7"/>
      <c r="Y291" s="7"/>
    </row>
    <row r="292" spans="1:25" ht="15">
      <c r="A292" s="81"/>
      <c r="B292" s="7"/>
      <c r="C292" s="7"/>
      <c r="D292" s="7"/>
      <c r="E292" s="7"/>
      <c r="F292" s="7"/>
      <c r="G292" s="7"/>
      <c r="H292" s="7"/>
      <c r="J292" s="7"/>
      <c r="K292" s="7"/>
      <c r="L292" s="7"/>
      <c r="M292" s="7"/>
      <c r="N292" s="7"/>
      <c r="O292" s="7"/>
      <c r="P292" s="7"/>
      <c r="Q292" s="7"/>
      <c r="R292" s="7"/>
      <c r="S292" s="7"/>
      <c r="T292" s="7"/>
      <c r="U292" s="7"/>
      <c r="V292" s="7"/>
      <c r="W292" s="7"/>
      <c r="X292" s="7"/>
      <c r="Y292" s="7"/>
    </row>
    <row r="293" spans="1:25" ht="15">
      <c r="A293" s="81"/>
      <c r="B293" s="7"/>
      <c r="C293" s="7"/>
      <c r="D293" s="7"/>
      <c r="E293" s="7"/>
      <c r="F293" s="7"/>
      <c r="G293" s="7"/>
      <c r="H293" s="7"/>
      <c r="J293" s="7"/>
      <c r="K293" s="7"/>
      <c r="L293" s="7"/>
      <c r="M293" s="7"/>
      <c r="N293" s="7"/>
      <c r="O293" s="7"/>
      <c r="P293" s="7"/>
      <c r="Q293" s="7"/>
      <c r="R293" s="7"/>
      <c r="S293" s="7"/>
      <c r="T293" s="7"/>
      <c r="U293" s="7"/>
      <c r="V293" s="7"/>
      <c r="W293" s="7"/>
      <c r="X293" s="7"/>
      <c r="Y293" s="7"/>
    </row>
    <row r="294" spans="1:25" ht="15">
      <c r="A294" s="81"/>
      <c r="B294" s="7"/>
      <c r="C294" s="7"/>
      <c r="D294" s="7"/>
      <c r="E294" s="7"/>
      <c r="F294" s="7"/>
      <c r="G294" s="7"/>
      <c r="H294" s="7"/>
      <c r="J294" s="7"/>
      <c r="K294" s="7"/>
      <c r="L294" s="7"/>
      <c r="M294" s="7"/>
      <c r="N294" s="7"/>
      <c r="O294" s="7"/>
      <c r="P294" s="7"/>
      <c r="Q294" s="7"/>
      <c r="R294" s="7"/>
      <c r="S294" s="7"/>
      <c r="T294" s="7"/>
      <c r="U294" s="7"/>
      <c r="V294" s="7"/>
      <c r="W294" s="7"/>
      <c r="X294" s="7"/>
      <c r="Y294" s="7"/>
    </row>
    <row r="295" spans="1:25" ht="15">
      <c r="A295" s="81"/>
      <c r="B295" s="7"/>
      <c r="C295" s="7"/>
      <c r="D295" s="7"/>
      <c r="E295" s="7"/>
      <c r="F295" s="7"/>
      <c r="G295" s="7"/>
      <c r="H295" s="7"/>
      <c r="J295" s="7"/>
      <c r="K295" s="7"/>
      <c r="L295" s="7"/>
      <c r="M295" s="7"/>
      <c r="N295" s="7"/>
      <c r="O295" s="7"/>
      <c r="P295" s="7"/>
      <c r="Q295" s="7"/>
      <c r="R295" s="7"/>
      <c r="S295" s="7"/>
      <c r="T295" s="7"/>
      <c r="U295" s="7"/>
      <c r="V295" s="7"/>
      <c r="W295" s="7"/>
      <c r="X295" s="7"/>
      <c r="Y295" s="7"/>
    </row>
    <row r="296" spans="1:25" ht="15">
      <c r="A296" s="81"/>
      <c r="B296" s="7"/>
      <c r="C296" s="7"/>
      <c r="D296" s="7"/>
      <c r="E296" s="7"/>
      <c r="F296" s="7"/>
      <c r="G296" s="7"/>
      <c r="H296" s="7"/>
      <c r="J296" s="7"/>
      <c r="K296" s="7"/>
      <c r="L296" s="7"/>
      <c r="M296" s="7"/>
      <c r="N296" s="7"/>
      <c r="O296" s="7"/>
      <c r="P296" s="7"/>
      <c r="Q296" s="7"/>
      <c r="R296" s="7"/>
      <c r="S296" s="7"/>
      <c r="T296" s="7"/>
      <c r="U296" s="7"/>
      <c r="V296" s="7"/>
      <c r="W296" s="7"/>
      <c r="X296" s="7"/>
      <c r="Y296" s="7"/>
    </row>
    <row r="297" spans="1:25" ht="15">
      <c r="A297" s="81"/>
      <c r="B297" s="7"/>
      <c r="C297" s="7"/>
      <c r="D297" s="7"/>
      <c r="E297" s="7"/>
      <c r="F297" s="7"/>
      <c r="G297" s="7"/>
      <c r="H297" s="7"/>
      <c r="J297" s="7"/>
      <c r="K297" s="7"/>
      <c r="L297" s="7"/>
      <c r="M297" s="7"/>
      <c r="N297" s="7"/>
      <c r="O297" s="7"/>
      <c r="P297" s="7"/>
      <c r="Q297" s="7"/>
      <c r="R297" s="7"/>
      <c r="S297" s="7"/>
      <c r="T297" s="7"/>
      <c r="U297" s="7"/>
      <c r="V297" s="7"/>
      <c r="W297" s="7"/>
      <c r="X297" s="7"/>
      <c r="Y297" s="7"/>
    </row>
    <row r="298" spans="1:25" ht="15">
      <c r="A298" s="81"/>
      <c r="B298" s="7"/>
      <c r="C298" s="7"/>
      <c r="D298" s="7"/>
      <c r="E298" s="7"/>
      <c r="F298" s="7"/>
      <c r="G298" s="7"/>
      <c r="H298" s="7"/>
      <c r="J298" s="7"/>
      <c r="K298" s="7"/>
      <c r="L298" s="7"/>
      <c r="M298" s="7"/>
      <c r="N298" s="7"/>
      <c r="O298" s="7"/>
      <c r="P298" s="7"/>
      <c r="Q298" s="7"/>
      <c r="R298" s="7"/>
      <c r="S298" s="7"/>
      <c r="T298" s="7"/>
      <c r="U298" s="7"/>
      <c r="V298" s="7"/>
      <c r="W298" s="7"/>
      <c r="X298" s="7"/>
      <c r="Y298" s="7"/>
    </row>
    <row r="299" spans="1:25" ht="15">
      <c r="A299" s="81"/>
      <c r="B299" s="7"/>
      <c r="C299" s="7"/>
      <c r="D299" s="7"/>
      <c r="E299" s="7"/>
      <c r="F299" s="7"/>
      <c r="G299" s="7"/>
      <c r="H299" s="7"/>
      <c r="J299" s="7"/>
      <c r="K299" s="7"/>
      <c r="L299" s="7"/>
      <c r="M299" s="7"/>
      <c r="N299" s="7"/>
      <c r="O299" s="7"/>
      <c r="P299" s="7"/>
      <c r="Q299" s="7"/>
      <c r="R299" s="7"/>
      <c r="S299" s="7"/>
      <c r="T299" s="7"/>
      <c r="U299" s="7"/>
      <c r="V299" s="7"/>
      <c r="W299" s="7"/>
      <c r="X299" s="7"/>
      <c r="Y299" s="7"/>
    </row>
    <row r="300" spans="1:25" ht="15">
      <c r="A300" s="81"/>
      <c r="B300" s="7"/>
      <c r="C300" s="7"/>
      <c r="D300" s="7"/>
      <c r="E300" s="7"/>
      <c r="F300" s="7"/>
      <c r="G300" s="7"/>
      <c r="H300" s="7"/>
      <c r="J300" s="7"/>
      <c r="K300" s="7"/>
      <c r="L300" s="7"/>
      <c r="M300" s="7"/>
      <c r="N300" s="7"/>
      <c r="O300" s="7"/>
      <c r="P300" s="7"/>
      <c r="Q300" s="7"/>
      <c r="R300" s="7"/>
      <c r="S300" s="7"/>
      <c r="T300" s="7"/>
      <c r="U300" s="7"/>
      <c r="V300" s="7"/>
      <c r="W300" s="7"/>
      <c r="X300" s="7"/>
      <c r="Y300" s="7"/>
    </row>
    <row r="301" spans="1:25" ht="15">
      <c r="A301" s="81"/>
      <c r="B301" s="7"/>
      <c r="C301" s="7"/>
      <c r="D301" s="7"/>
      <c r="E301" s="7"/>
      <c r="F301" s="7"/>
      <c r="G301" s="7"/>
      <c r="H301" s="7"/>
      <c r="J301" s="7"/>
      <c r="K301" s="7"/>
      <c r="L301" s="7"/>
      <c r="M301" s="7"/>
      <c r="N301" s="7"/>
      <c r="O301" s="7"/>
      <c r="P301" s="7"/>
      <c r="Q301" s="7"/>
      <c r="R301" s="7"/>
      <c r="S301" s="7"/>
      <c r="T301" s="7"/>
      <c r="U301" s="7"/>
      <c r="V301" s="7"/>
      <c r="W301" s="7"/>
      <c r="X301" s="7"/>
      <c r="Y301" s="7"/>
    </row>
    <row r="302" spans="1:25" ht="15">
      <c r="A302" s="81"/>
      <c r="B302" s="7"/>
      <c r="C302" s="7"/>
      <c r="D302" s="7"/>
      <c r="E302" s="7"/>
      <c r="F302" s="7"/>
      <c r="G302" s="7"/>
      <c r="H302" s="7"/>
      <c r="J302" s="7"/>
      <c r="K302" s="7"/>
      <c r="L302" s="7"/>
      <c r="M302" s="7"/>
      <c r="N302" s="7"/>
      <c r="O302" s="7"/>
      <c r="P302" s="7"/>
      <c r="Q302" s="7"/>
      <c r="R302" s="7"/>
      <c r="S302" s="7"/>
      <c r="T302" s="7"/>
      <c r="U302" s="7"/>
      <c r="V302" s="7"/>
      <c r="W302" s="7"/>
      <c r="X302" s="7"/>
      <c r="Y302" s="7"/>
    </row>
    <row r="303" spans="1:25" ht="15">
      <c r="A303" s="81"/>
      <c r="B303" s="7"/>
      <c r="C303" s="7"/>
      <c r="D303" s="7"/>
      <c r="E303" s="7"/>
      <c r="F303" s="7"/>
      <c r="G303" s="7"/>
      <c r="H303" s="7"/>
      <c r="J303" s="7"/>
      <c r="K303" s="7"/>
      <c r="L303" s="7"/>
      <c r="M303" s="7"/>
      <c r="N303" s="7"/>
      <c r="O303" s="7"/>
      <c r="P303" s="7"/>
      <c r="Q303" s="7"/>
      <c r="R303" s="7"/>
      <c r="S303" s="7"/>
      <c r="T303" s="7"/>
      <c r="U303" s="7"/>
      <c r="V303" s="7"/>
      <c r="W303" s="7"/>
      <c r="X303" s="7"/>
      <c r="Y303" s="7"/>
    </row>
    <row r="304" spans="1:25" ht="15">
      <c r="A304" s="81"/>
      <c r="B304" s="7"/>
      <c r="C304" s="7"/>
      <c r="D304" s="7"/>
      <c r="E304" s="7"/>
      <c r="F304" s="7"/>
      <c r="G304" s="7"/>
      <c r="H304" s="7"/>
      <c r="J304" s="7"/>
      <c r="K304" s="7"/>
      <c r="L304" s="7"/>
      <c r="M304" s="7"/>
      <c r="N304" s="7"/>
      <c r="O304" s="7"/>
      <c r="P304" s="7"/>
      <c r="Q304" s="7"/>
      <c r="R304" s="7"/>
      <c r="S304" s="7"/>
      <c r="T304" s="7"/>
      <c r="U304" s="7"/>
      <c r="V304" s="7"/>
      <c r="W304" s="7"/>
      <c r="X304" s="7"/>
      <c r="Y304" s="7"/>
    </row>
    <row r="305" spans="1:25" ht="15">
      <c r="A305" s="81"/>
      <c r="B305" s="7"/>
      <c r="C305" s="7"/>
      <c r="D305" s="7"/>
      <c r="E305" s="7"/>
      <c r="F305" s="7"/>
      <c r="G305" s="7"/>
      <c r="H305" s="7"/>
      <c r="J305" s="7"/>
      <c r="K305" s="7"/>
      <c r="L305" s="7"/>
      <c r="M305" s="7"/>
      <c r="N305" s="7"/>
      <c r="O305" s="7"/>
      <c r="P305" s="7"/>
      <c r="Q305" s="7"/>
      <c r="R305" s="7"/>
      <c r="S305" s="7"/>
      <c r="T305" s="7"/>
      <c r="U305" s="7"/>
      <c r="V305" s="7"/>
      <c r="W305" s="7"/>
      <c r="X305" s="7"/>
      <c r="Y305" s="7"/>
    </row>
    <row r="306" spans="1:25" ht="15">
      <c r="A306" s="81"/>
      <c r="B306" s="7"/>
      <c r="C306" s="7"/>
      <c r="D306" s="7"/>
      <c r="E306" s="7"/>
      <c r="F306" s="7"/>
      <c r="G306" s="7"/>
      <c r="H306" s="7"/>
      <c r="J306" s="7"/>
      <c r="K306" s="7"/>
      <c r="L306" s="7"/>
      <c r="M306" s="7"/>
      <c r="N306" s="7"/>
      <c r="O306" s="7"/>
      <c r="P306" s="7"/>
      <c r="Q306" s="7"/>
      <c r="R306" s="7"/>
      <c r="S306" s="7"/>
      <c r="T306" s="7"/>
      <c r="U306" s="7"/>
      <c r="V306" s="7"/>
      <c r="W306" s="7"/>
      <c r="X306" s="7"/>
      <c r="Y306" s="7"/>
    </row>
    <row r="307" spans="1:25" ht="15">
      <c r="A307" s="81"/>
      <c r="B307" s="7"/>
      <c r="C307" s="7"/>
      <c r="D307" s="7"/>
      <c r="E307" s="7"/>
      <c r="F307" s="7"/>
      <c r="G307" s="7"/>
      <c r="H307" s="7"/>
      <c r="J307" s="7"/>
      <c r="K307" s="7"/>
      <c r="L307" s="7"/>
      <c r="M307" s="7"/>
      <c r="N307" s="7"/>
      <c r="O307" s="7"/>
      <c r="P307" s="7"/>
      <c r="Q307" s="7"/>
      <c r="R307" s="7"/>
      <c r="S307" s="7"/>
      <c r="T307" s="7"/>
      <c r="U307" s="7"/>
      <c r="V307" s="7"/>
      <c r="W307" s="7"/>
      <c r="X307" s="7"/>
      <c r="Y307" s="7"/>
    </row>
    <row r="308" spans="1:25" ht="15">
      <c r="A308" s="81"/>
      <c r="B308" s="7"/>
      <c r="C308" s="7"/>
      <c r="D308" s="7"/>
      <c r="E308" s="7"/>
      <c r="F308" s="7"/>
      <c r="G308" s="7"/>
      <c r="H308" s="7"/>
      <c r="J308" s="7"/>
      <c r="K308" s="7"/>
      <c r="L308" s="7"/>
      <c r="M308" s="7"/>
      <c r="N308" s="7"/>
      <c r="O308" s="7"/>
      <c r="P308" s="7"/>
      <c r="Q308" s="7"/>
      <c r="R308" s="7"/>
      <c r="S308" s="7"/>
      <c r="T308" s="7"/>
      <c r="U308" s="7"/>
      <c r="V308" s="7"/>
      <c r="W308" s="7"/>
      <c r="X308" s="7"/>
      <c r="Y308" s="7"/>
    </row>
    <row r="309" spans="1:25" ht="15">
      <c r="A309" s="81"/>
      <c r="B309" s="7"/>
      <c r="C309" s="7"/>
      <c r="D309" s="7"/>
      <c r="E309" s="7"/>
      <c r="F309" s="7"/>
      <c r="G309" s="7"/>
      <c r="H309" s="7"/>
      <c r="J309" s="7"/>
      <c r="K309" s="7"/>
      <c r="L309" s="7"/>
      <c r="M309" s="7"/>
      <c r="N309" s="7"/>
      <c r="O309" s="7"/>
      <c r="P309" s="7"/>
      <c r="Q309" s="7"/>
      <c r="R309" s="7"/>
      <c r="S309" s="7"/>
      <c r="T309" s="7"/>
      <c r="U309" s="7"/>
      <c r="V309" s="7"/>
      <c r="W309" s="7"/>
      <c r="X309" s="7"/>
      <c r="Y309" s="7"/>
    </row>
    <row r="310" spans="1:25" ht="15">
      <c r="A310" s="81"/>
      <c r="B310" s="7"/>
      <c r="C310" s="7"/>
      <c r="D310" s="7"/>
      <c r="E310" s="7"/>
      <c r="F310" s="7"/>
      <c r="G310" s="7"/>
      <c r="H310" s="7"/>
      <c r="J310" s="7"/>
      <c r="K310" s="7"/>
      <c r="L310" s="7"/>
      <c r="M310" s="7"/>
      <c r="N310" s="7"/>
      <c r="O310" s="7"/>
      <c r="P310" s="7"/>
      <c r="Q310" s="7"/>
      <c r="R310" s="7"/>
      <c r="S310" s="7"/>
      <c r="T310" s="7"/>
      <c r="U310" s="7"/>
      <c r="V310" s="7"/>
      <c r="W310" s="7"/>
      <c r="X310" s="7"/>
      <c r="Y310" s="7"/>
    </row>
    <row r="311" spans="1:25" ht="15">
      <c r="A311" s="81"/>
      <c r="B311" s="7"/>
      <c r="C311" s="7"/>
      <c r="D311" s="7"/>
      <c r="E311" s="7"/>
      <c r="F311" s="7"/>
      <c r="G311" s="7"/>
      <c r="H311" s="7"/>
      <c r="J311" s="7"/>
      <c r="K311" s="7"/>
      <c r="L311" s="7"/>
      <c r="M311" s="7"/>
      <c r="N311" s="7"/>
      <c r="O311" s="7"/>
      <c r="P311" s="7"/>
      <c r="Q311" s="7"/>
      <c r="R311" s="7"/>
      <c r="S311" s="7"/>
      <c r="T311" s="7"/>
      <c r="U311" s="7"/>
      <c r="V311" s="7"/>
      <c r="W311" s="7"/>
      <c r="X311" s="7"/>
      <c r="Y311" s="7"/>
    </row>
    <row r="312" spans="1:25" ht="15">
      <c r="A312" s="81"/>
      <c r="B312" s="7"/>
      <c r="C312" s="7"/>
      <c r="D312" s="7"/>
      <c r="E312" s="7"/>
      <c r="F312" s="7"/>
      <c r="G312" s="7"/>
      <c r="H312" s="7"/>
      <c r="J312" s="7"/>
      <c r="K312" s="7"/>
      <c r="L312" s="7"/>
      <c r="M312" s="7"/>
      <c r="N312" s="7"/>
      <c r="O312" s="7"/>
      <c r="P312" s="7"/>
      <c r="Q312" s="7"/>
      <c r="R312" s="7"/>
      <c r="S312" s="7"/>
      <c r="T312" s="7"/>
      <c r="U312" s="7"/>
      <c r="V312" s="7"/>
      <c r="W312" s="7"/>
      <c r="X312" s="7"/>
      <c r="Y312" s="7"/>
    </row>
    <row r="313" spans="1:25" ht="15">
      <c r="A313" s="81"/>
      <c r="B313" s="7"/>
      <c r="C313" s="7"/>
      <c r="D313" s="7"/>
      <c r="E313" s="7"/>
      <c r="F313" s="7"/>
      <c r="G313" s="7"/>
      <c r="H313" s="7"/>
      <c r="J313" s="7"/>
      <c r="K313" s="7"/>
      <c r="L313" s="7"/>
      <c r="M313" s="7"/>
      <c r="N313" s="7"/>
      <c r="O313" s="7"/>
      <c r="P313" s="7"/>
      <c r="Q313" s="7"/>
      <c r="R313" s="7"/>
      <c r="S313" s="7"/>
      <c r="T313" s="7"/>
      <c r="U313" s="7"/>
      <c r="V313" s="7"/>
      <c r="W313" s="7"/>
      <c r="X313" s="7"/>
      <c r="Y313" s="7"/>
    </row>
    <row r="314" spans="1:25" ht="15">
      <c r="A314" s="81"/>
      <c r="B314" s="7"/>
      <c r="C314" s="7"/>
      <c r="D314" s="7"/>
      <c r="E314" s="7"/>
      <c r="F314" s="7"/>
      <c r="G314" s="7"/>
      <c r="H314" s="7"/>
      <c r="J314" s="7"/>
      <c r="K314" s="7"/>
      <c r="L314" s="7"/>
      <c r="M314" s="7"/>
      <c r="N314" s="7"/>
      <c r="O314" s="7"/>
      <c r="P314" s="7"/>
      <c r="Q314" s="7"/>
      <c r="R314" s="7"/>
      <c r="S314" s="7"/>
      <c r="T314" s="7"/>
      <c r="U314" s="7"/>
      <c r="V314" s="7"/>
      <c r="W314" s="7"/>
      <c r="X314" s="7"/>
      <c r="Y314" s="7"/>
    </row>
    <row r="315" spans="1:25" ht="15">
      <c r="A315" s="81"/>
      <c r="B315" s="7"/>
      <c r="C315" s="7"/>
      <c r="D315" s="7"/>
      <c r="E315" s="7"/>
      <c r="F315" s="7"/>
      <c r="G315" s="7"/>
      <c r="H315" s="7"/>
      <c r="J315" s="7"/>
      <c r="K315" s="7"/>
      <c r="L315" s="7"/>
      <c r="M315" s="7"/>
      <c r="N315" s="7"/>
      <c r="O315" s="7"/>
      <c r="P315" s="7"/>
      <c r="Q315" s="7"/>
      <c r="R315" s="7"/>
      <c r="S315" s="7"/>
      <c r="T315" s="7"/>
      <c r="U315" s="7"/>
      <c r="V315" s="7"/>
      <c r="W315" s="7"/>
      <c r="X315" s="7"/>
      <c r="Y315" s="7"/>
    </row>
    <row r="316" spans="1:25" ht="15">
      <c r="A316" s="81"/>
      <c r="B316" s="7"/>
      <c r="C316" s="7"/>
      <c r="D316" s="7"/>
      <c r="E316" s="7"/>
      <c r="F316" s="7"/>
      <c r="G316" s="7"/>
      <c r="H316" s="7"/>
      <c r="J316" s="7"/>
      <c r="K316" s="7"/>
      <c r="L316" s="7"/>
      <c r="M316" s="7"/>
      <c r="N316" s="7"/>
      <c r="O316" s="7"/>
      <c r="P316" s="7"/>
      <c r="Q316" s="7"/>
      <c r="R316" s="7"/>
      <c r="S316" s="7"/>
      <c r="T316" s="7"/>
      <c r="U316" s="7"/>
      <c r="V316" s="7"/>
      <c r="W316" s="7"/>
      <c r="X316" s="7"/>
      <c r="Y316" s="7"/>
    </row>
    <row r="317" spans="1:25" ht="15">
      <c r="A317" s="81"/>
      <c r="B317" s="7"/>
      <c r="C317" s="7"/>
      <c r="D317" s="7"/>
      <c r="E317" s="7"/>
      <c r="F317" s="7"/>
      <c r="G317" s="7"/>
      <c r="H317" s="7"/>
      <c r="J317" s="7"/>
      <c r="K317" s="7"/>
      <c r="L317" s="7"/>
      <c r="M317" s="7"/>
      <c r="N317" s="7"/>
      <c r="O317" s="7"/>
      <c r="P317" s="7"/>
      <c r="Q317" s="7"/>
      <c r="R317" s="7"/>
      <c r="S317" s="7"/>
      <c r="T317" s="7"/>
      <c r="U317" s="7"/>
      <c r="V317" s="7"/>
      <c r="W317" s="7"/>
      <c r="X317" s="7"/>
      <c r="Y317" s="7"/>
    </row>
    <row r="318" spans="1:25" ht="15">
      <c r="A318" s="81"/>
      <c r="B318" s="7"/>
      <c r="C318" s="7"/>
      <c r="D318" s="7"/>
      <c r="E318" s="7"/>
      <c r="F318" s="7"/>
      <c r="G318" s="7"/>
      <c r="H318" s="7"/>
      <c r="J318" s="7"/>
      <c r="K318" s="7"/>
      <c r="L318" s="7"/>
      <c r="M318" s="7"/>
      <c r="N318" s="7"/>
      <c r="O318" s="7"/>
      <c r="P318" s="7"/>
      <c r="Q318" s="7"/>
      <c r="R318" s="7"/>
      <c r="S318" s="7"/>
      <c r="T318" s="7"/>
      <c r="U318" s="7"/>
      <c r="V318" s="7"/>
      <c r="W318" s="7"/>
      <c r="X318" s="7"/>
      <c r="Y318" s="7"/>
    </row>
    <row r="319" spans="1:25" ht="15">
      <c r="A319" s="81"/>
      <c r="B319" s="7"/>
      <c r="C319" s="7"/>
      <c r="D319" s="7"/>
      <c r="E319" s="7"/>
      <c r="F319" s="7"/>
      <c r="G319" s="7"/>
      <c r="H319" s="7"/>
      <c r="J319" s="7"/>
      <c r="K319" s="7"/>
      <c r="L319" s="7"/>
      <c r="M319" s="7"/>
      <c r="N319" s="7"/>
      <c r="O319" s="7"/>
      <c r="P319" s="7"/>
      <c r="Q319" s="7"/>
      <c r="R319" s="7"/>
      <c r="S319" s="7"/>
      <c r="T319" s="7"/>
      <c r="U319" s="7"/>
      <c r="V319" s="7"/>
      <c r="W319" s="7"/>
      <c r="X319" s="7"/>
      <c r="Y319" s="7"/>
    </row>
    <row r="320" spans="1:25" ht="15">
      <c r="A320" s="81"/>
      <c r="B320" s="7"/>
      <c r="C320" s="7"/>
      <c r="D320" s="7"/>
      <c r="E320" s="7"/>
      <c r="F320" s="7"/>
      <c r="G320" s="7"/>
      <c r="H320" s="7"/>
      <c r="J320" s="7"/>
      <c r="K320" s="7"/>
      <c r="L320" s="7"/>
      <c r="M320" s="7"/>
      <c r="N320" s="7"/>
      <c r="O320" s="7"/>
      <c r="P320" s="7"/>
      <c r="Q320" s="7"/>
      <c r="R320" s="7"/>
      <c r="S320" s="7"/>
      <c r="T320" s="7"/>
      <c r="U320" s="7"/>
      <c r="V320" s="7"/>
      <c r="W320" s="7"/>
      <c r="X320" s="7"/>
      <c r="Y320" s="7"/>
    </row>
    <row r="321" spans="1:25" ht="15">
      <c r="A321" s="81"/>
      <c r="B321" s="7"/>
      <c r="C321" s="7"/>
      <c r="D321" s="7"/>
      <c r="E321" s="7"/>
      <c r="F321" s="7"/>
      <c r="G321" s="7"/>
      <c r="H321" s="7"/>
      <c r="J321" s="7"/>
      <c r="K321" s="7"/>
      <c r="L321" s="7"/>
      <c r="M321" s="7"/>
      <c r="N321" s="7"/>
      <c r="O321" s="7"/>
      <c r="P321" s="7"/>
      <c r="Q321" s="7"/>
      <c r="R321" s="7"/>
      <c r="S321" s="7"/>
      <c r="T321" s="7"/>
      <c r="U321" s="7"/>
      <c r="V321" s="7"/>
      <c r="W321" s="7"/>
      <c r="X321" s="7"/>
      <c r="Y321" s="7"/>
    </row>
    <row r="322" spans="1:25" ht="15">
      <c r="A322" s="81"/>
      <c r="B322" s="7"/>
      <c r="C322" s="7"/>
      <c r="D322" s="7"/>
      <c r="E322" s="7"/>
      <c r="F322" s="7"/>
      <c r="G322" s="7"/>
      <c r="H322" s="7"/>
      <c r="J322" s="7"/>
      <c r="K322" s="7"/>
      <c r="L322" s="7"/>
      <c r="M322" s="7"/>
      <c r="N322" s="7"/>
      <c r="O322" s="7"/>
      <c r="P322" s="7"/>
      <c r="Q322" s="7"/>
      <c r="R322" s="7"/>
      <c r="S322" s="7"/>
      <c r="T322" s="7"/>
      <c r="U322" s="7"/>
      <c r="V322" s="7"/>
      <c r="W322" s="7"/>
      <c r="X322" s="7"/>
      <c r="Y322" s="7"/>
    </row>
    <row r="323" spans="1:25" ht="15">
      <c r="A323" s="81"/>
      <c r="B323" s="7"/>
      <c r="C323" s="7"/>
      <c r="D323" s="7"/>
      <c r="E323" s="7"/>
      <c r="F323" s="7"/>
      <c r="G323" s="7"/>
      <c r="H323" s="7"/>
      <c r="J323" s="7"/>
      <c r="K323" s="7"/>
      <c r="L323" s="7"/>
      <c r="M323" s="7"/>
      <c r="N323" s="7"/>
      <c r="O323" s="7"/>
      <c r="P323" s="7"/>
      <c r="Q323" s="7"/>
      <c r="R323" s="7"/>
      <c r="S323" s="7"/>
      <c r="T323" s="7"/>
      <c r="U323" s="7"/>
      <c r="V323" s="7"/>
      <c r="W323" s="7"/>
      <c r="X323" s="7"/>
      <c r="Y323" s="7"/>
    </row>
    <row r="324" spans="1:25" ht="15">
      <c r="A324" s="81"/>
      <c r="B324" s="7"/>
      <c r="C324" s="7"/>
      <c r="D324" s="7"/>
      <c r="E324" s="7"/>
      <c r="F324" s="7"/>
      <c r="G324" s="7"/>
      <c r="H324" s="7"/>
      <c r="J324" s="7"/>
      <c r="K324" s="7"/>
      <c r="L324" s="7"/>
      <c r="M324" s="7"/>
      <c r="N324" s="7"/>
      <c r="O324" s="7"/>
      <c r="P324" s="7"/>
      <c r="Q324" s="7"/>
      <c r="R324" s="7"/>
      <c r="S324" s="7"/>
      <c r="T324" s="7"/>
      <c r="U324" s="7"/>
      <c r="V324" s="7"/>
      <c r="W324" s="7"/>
      <c r="X324" s="7"/>
      <c r="Y324" s="7"/>
    </row>
    <row r="325" spans="1:25" ht="15">
      <c r="A325" s="81"/>
      <c r="B325" s="7"/>
      <c r="C325" s="7"/>
      <c r="D325" s="7"/>
      <c r="E325" s="7"/>
      <c r="F325" s="7"/>
      <c r="G325" s="7"/>
      <c r="H325" s="7"/>
      <c r="J325" s="7"/>
      <c r="K325" s="7"/>
      <c r="L325" s="7"/>
      <c r="M325" s="7"/>
      <c r="N325" s="7"/>
      <c r="O325" s="7"/>
      <c r="P325" s="7"/>
      <c r="Q325" s="7"/>
      <c r="R325" s="7"/>
      <c r="S325" s="7"/>
      <c r="T325" s="7"/>
      <c r="U325" s="7"/>
      <c r="V325" s="7"/>
      <c r="W325" s="7"/>
      <c r="X325" s="7"/>
      <c r="Y325" s="7"/>
    </row>
    <row r="326" spans="1:25" ht="15">
      <c r="A326" s="81"/>
      <c r="B326" s="7"/>
      <c r="C326" s="7"/>
      <c r="D326" s="7"/>
      <c r="E326" s="7"/>
      <c r="F326" s="7"/>
      <c r="G326" s="7"/>
      <c r="H326" s="7"/>
      <c r="J326" s="7"/>
      <c r="K326" s="7"/>
      <c r="L326" s="7"/>
      <c r="M326" s="7"/>
      <c r="N326" s="7"/>
      <c r="O326" s="7"/>
      <c r="P326" s="7"/>
      <c r="Q326" s="7"/>
      <c r="R326" s="7"/>
      <c r="S326" s="7"/>
      <c r="T326" s="7"/>
      <c r="U326" s="7"/>
      <c r="V326" s="7"/>
      <c r="W326" s="7"/>
      <c r="X326" s="7"/>
      <c r="Y326" s="7"/>
    </row>
    <row r="327" spans="1:25" ht="15">
      <c r="A327" s="81"/>
      <c r="B327" s="7"/>
      <c r="C327" s="7"/>
      <c r="D327" s="7"/>
      <c r="E327" s="7"/>
      <c r="F327" s="7"/>
      <c r="G327" s="7"/>
      <c r="H327" s="7"/>
      <c r="J327" s="7"/>
      <c r="K327" s="7"/>
      <c r="L327" s="7"/>
      <c r="M327" s="7"/>
      <c r="N327" s="7"/>
      <c r="O327" s="7"/>
      <c r="P327" s="7"/>
      <c r="Q327" s="7"/>
      <c r="R327" s="7"/>
      <c r="S327" s="7"/>
      <c r="T327" s="7"/>
      <c r="U327" s="7"/>
      <c r="V327" s="7"/>
      <c r="W327" s="7"/>
      <c r="X327" s="7"/>
      <c r="Y327" s="7"/>
    </row>
    <row r="328" spans="1:25" ht="15">
      <c r="A328" s="81"/>
      <c r="B328" s="7"/>
      <c r="C328" s="7"/>
      <c r="D328" s="7"/>
      <c r="E328" s="7"/>
      <c r="F328" s="7"/>
      <c r="G328" s="7"/>
      <c r="H328" s="7"/>
      <c r="J328" s="7"/>
      <c r="K328" s="7"/>
      <c r="L328" s="7"/>
      <c r="M328" s="7"/>
      <c r="N328" s="7"/>
      <c r="O328" s="7"/>
      <c r="P328" s="7"/>
      <c r="Q328" s="7"/>
      <c r="R328" s="7"/>
      <c r="S328" s="7"/>
      <c r="T328" s="7"/>
      <c r="U328" s="7"/>
      <c r="V328" s="7"/>
      <c r="W328" s="7"/>
      <c r="X328" s="7"/>
      <c r="Y328" s="7"/>
    </row>
    <row r="329" spans="1:25" ht="15">
      <c r="A329" s="81"/>
      <c r="B329" s="7"/>
      <c r="C329" s="7"/>
      <c r="D329" s="7"/>
      <c r="E329" s="7"/>
      <c r="F329" s="7"/>
      <c r="G329" s="7"/>
      <c r="H329" s="7"/>
      <c r="J329" s="7"/>
      <c r="K329" s="7"/>
      <c r="L329" s="7"/>
      <c r="M329" s="7"/>
      <c r="N329" s="7"/>
      <c r="O329" s="7"/>
      <c r="P329" s="7"/>
      <c r="Q329" s="7"/>
      <c r="R329" s="7"/>
      <c r="S329" s="7"/>
      <c r="T329" s="7"/>
      <c r="U329" s="7"/>
      <c r="V329" s="7"/>
      <c r="W329" s="7"/>
      <c r="X329" s="7"/>
      <c r="Y329" s="7"/>
    </row>
    <row r="330" spans="1:25" ht="15">
      <c r="A330" s="81"/>
      <c r="B330" s="7"/>
      <c r="C330" s="7"/>
      <c r="D330" s="7"/>
      <c r="E330" s="7"/>
      <c r="F330" s="7"/>
      <c r="G330" s="7"/>
      <c r="H330" s="7"/>
      <c r="J330" s="7"/>
      <c r="K330" s="7"/>
      <c r="L330" s="7"/>
      <c r="M330" s="7"/>
      <c r="N330" s="7"/>
      <c r="O330" s="7"/>
      <c r="P330" s="7"/>
      <c r="Q330" s="7"/>
      <c r="R330" s="7"/>
      <c r="S330" s="7"/>
      <c r="T330" s="7"/>
      <c r="U330" s="7"/>
      <c r="V330" s="7"/>
      <c r="W330" s="7"/>
      <c r="X330" s="7"/>
      <c r="Y330" s="7"/>
    </row>
    <row r="331" spans="1:25" ht="15">
      <c r="A331" s="81"/>
      <c r="B331" s="7"/>
      <c r="C331" s="7"/>
      <c r="D331" s="7"/>
      <c r="E331" s="7"/>
      <c r="F331" s="7"/>
      <c r="G331" s="7"/>
      <c r="H331" s="7"/>
      <c r="J331" s="7"/>
      <c r="K331" s="7"/>
      <c r="L331" s="7"/>
      <c r="M331" s="7"/>
      <c r="N331" s="7"/>
      <c r="O331" s="7"/>
      <c r="P331" s="7"/>
      <c r="Q331" s="7"/>
      <c r="R331" s="7"/>
      <c r="S331" s="7"/>
      <c r="T331" s="7"/>
      <c r="U331" s="7"/>
      <c r="V331" s="7"/>
      <c r="W331" s="7"/>
      <c r="X331" s="7"/>
      <c r="Y331" s="7"/>
    </row>
    <row r="332" spans="1:25" ht="15">
      <c r="A332" s="81"/>
      <c r="B332" s="7"/>
      <c r="C332" s="7"/>
      <c r="D332" s="7"/>
      <c r="E332" s="7"/>
      <c r="F332" s="7"/>
      <c r="G332" s="7"/>
      <c r="H332" s="7"/>
      <c r="J332" s="7"/>
      <c r="K332" s="7"/>
      <c r="L332" s="7"/>
      <c r="M332" s="7"/>
      <c r="N332" s="7"/>
      <c r="O332" s="7"/>
      <c r="P332" s="7"/>
      <c r="Q332" s="7"/>
      <c r="R332" s="7"/>
      <c r="S332" s="7"/>
      <c r="T332" s="7"/>
      <c r="U332" s="7"/>
      <c r="V332" s="7"/>
      <c r="W332" s="7"/>
      <c r="X332" s="7"/>
      <c r="Y332" s="7"/>
    </row>
    <row r="333" spans="1:25" ht="15">
      <c r="A333" s="81"/>
      <c r="B333" s="7"/>
      <c r="C333" s="7"/>
      <c r="D333" s="7"/>
      <c r="E333" s="7"/>
      <c r="F333" s="7"/>
      <c r="G333" s="7"/>
      <c r="H333" s="7"/>
      <c r="J333" s="7"/>
      <c r="K333" s="7"/>
      <c r="L333" s="7"/>
      <c r="M333" s="7"/>
      <c r="N333" s="7"/>
      <c r="O333" s="7"/>
      <c r="P333" s="7"/>
      <c r="Q333" s="7"/>
      <c r="R333" s="7"/>
      <c r="S333" s="7"/>
      <c r="T333" s="7"/>
      <c r="U333" s="7"/>
      <c r="V333" s="7"/>
      <c r="W333" s="7"/>
      <c r="X333" s="7"/>
      <c r="Y333" s="7"/>
    </row>
    <row r="334" spans="1:25" ht="15">
      <c r="A334" s="81"/>
      <c r="B334" s="7"/>
      <c r="C334" s="7"/>
      <c r="D334" s="7"/>
      <c r="E334" s="7"/>
      <c r="F334" s="7"/>
      <c r="G334" s="7"/>
      <c r="H334" s="7"/>
      <c r="J334" s="7"/>
      <c r="K334" s="7"/>
      <c r="L334" s="7"/>
      <c r="M334" s="7"/>
      <c r="N334" s="7"/>
      <c r="O334" s="7"/>
      <c r="P334" s="7"/>
      <c r="Q334" s="7"/>
      <c r="R334" s="7"/>
      <c r="S334" s="7"/>
      <c r="T334" s="7"/>
      <c r="U334" s="7"/>
      <c r="V334" s="7"/>
      <c r="W334" s="7"/>
      <c r="X334" s="7"/>
      <c r="Y334" s="7"/>
    </row>
    <row r="335" spans="1:25" ht="15">
      <c r="A335" s="81"/>
      <c r="B335" s="7"/>
      <c r="C335" s="7"/>
      <c r="D335" s="7"/>
      <c r="E335" s="7"/>
      <c r="F335" s="7"/>
      <c r="G335" s="7"/>
      <c r="H335" s="7"/>
      <c r="J335" s="7"/>
      <c r="K335" s="7"/>
      <c r="L335" s="7"/>
      <c r="M335" s="7"/>
      <c r="N335" s="7"/>
      <c r="O335" s="7"/>
      <c r="P335" s="7"/>
      <c r="Q335" s="7"/>
      <c r="R335" s="7"/>
      <c r="S335" s="7"/>
      <c r="T335" s="7"/>
      <c r="U335" s="7"/>
      <c r="V335" s="7"/>
      <c r="W335" s="7"/>
      <c r="X335" s="7"/>
      <c r="Y335" s="7"/>
    </row>
    <row r="336" spans="1:25" ht="15">
      <c r="A336" s="81"/>
      <c r="B336" s="7"/>
      <c r="C336" s="7"/>
      <c r="D336" s="7"/>
      <c r="E336" s="7"/>
      <c r="F336" s="7"/>
      <c r="G336" s="7"/>
      <c r="H336" s="7"/>
      <c r="J336" s="7"/>
      <c r="K336" s="7"/>
      <c r="L336" s="7"/>
      <c r="M336" s="7"/>
      <c r="N336" s="7"/>
      <c r="O336" s="7"/>
      <c r="P336" s="7"/>
      <c r="Q336" s="7"/>
      <c r="R336" s="7"/>
      <c r="S336" s="7"/>
      <c r="T336" s="7"/>
      <c r="U336" s="7"/>
      <c r="V336" s="7"/>
      <c r="W336" s="7"/>
      <c r="X336" s="7"/>
      <c r="Y336" s="7"/>
    </row>
    <row r="337" spans="1:25" ht="15">
      <c r="A337" s="81"/>
      <c r="B337" s="7"/>
      <c r="C337" s="7"/>
      <c r="D337" s="7"/>
      <c r="E337" s="7"/>
      <c r="F337" s="7"/>
      <c r="G337" s="7"/>
      <c r="H337" s="7"/>
      <c r="J337" s="7"/>
      <c r="K337" s="7"/>
      <c r="L337" s="7"/>
      <c r="M337" s="7"/>
      <c r="N337" s="7"/>
      <c r="O337" s="7"/>
      <c r="P337" s="7"/>
      <c r="Q337" s="7"/>
      <c r="R337" s="7"/>
      <c r="S337" s="7"/>
      <c r="T337" s="7"/>
      <c r="U337" s="7"/>
      <c r="V337" s="7"/>
      <c r="W337" s="7"/>
      <c r="X337" s="7"/>
      <c r="Y337" s="7"/>
    </row>
    <row r="338" spans="1:25" ht="15">
      <c r="A338" s="81"/>
      <c r="B338" s="7"/>
      <c r="C338" s="7"/>
      <c r="D338" s="7"/>
      <c r="E338" s="7"/>
      <c r="F338" s="7"/>
      <c r="G338" s="7"/>
      <c r="H338" s="7"/>
      <c r="J338" s="7"/>
      <c r="K338" s="7"/>
      <c r="L338" s="7"/>
      <c r="M338" s="7"/>
      <c r="N338" s="7"/>
      <c r="O338" s="7"/>
      <c r="P338" s="7"/>
      <c r="Q338" s="7"/>
      <c r="R338" s="7"/>
      <c r="S338" s="7"/>
      <c r="T338" s="7"/>
      <c r="U338" s="7"/>
      <c r="V338" s="7"/>
      <c r="W338" s="7"/>
      <c r="X338" s="7"/>
      <c r="Y338" s="7"/>
    </row>
    <row r="339" spans="1:25" ht="15">
      <c r="A339" s="81"/>
      <c r="B339" s="7"/>
      <c r="C339" s="7"/>
      <c r="D339" s="7"/>
      <c r="E339" s="7"/>
      <c r="F339" s="7"/>
      <c r="G339" s="7"/>
      <c r="H339" s="7"/>
      <c r="J339" s="7"/>
      <c r="K339" s="7"/>
      <c r="L339" s="7"/>
      <c r="M339" s="7"/>
      <c r="N339" s="7"/>
      <c r="O339" s="7"/>
      <c r="P339" s="7"/>
      <c r="Q339" s="7"/>
      <c r="R339" s="7"/>
      <c r="S339" s="7"/>
      <c r="T339" s="7"/>
      <c r="U339" s="7"/>
      <c r="V339" s="7"/>
      <c r="W339" s="7"/>
      <c r="X339" s="7"/>
      <c r="Y339" s="7"/>
    </row>
    <row r="340" spans="1:25" ht="15">
      <c r="A340" s="81"/>
      <c r="B340" s="7"/>
      <c r="C340" s="7"/>
      <c r="D340" s="7"/>
      <c r="E340" s="7"/>
      <c r="F340" s="7"/>
      <c r="G340" s="7"/>
      <c r="H340" s="7"/>
      <c r="J340" s="7"/>
      <c r="K340" s="7"/>
      <c r="L340" s="7"/>
      <c r="M340" s="7"/>
      <c r="N340" s="7"/>
      <c r="O340" s="7"/>
      <c r="P340" s="7"/>
      <c r="Q340" s="7"/>
      <c r="R340" s="7"/>
      <c r="S340" s="7"/>
      <c r="T340" s="7"/>
      <c r="U340" s="7"/>
      <c r="V340" s="7"/>
      <c r="W340" s="7"/>
      <c r="X340" s="7"/>
      <c r="Y340" s="7"/>
    </row>
    <row r="341" spans="1:25" ht="15">
      <c r="A341" s="81"/>
      <c r="B341" s="7"/>
      <c r="C341" s="7"/>
      <c r="D341" s="7"/>
      <c r="E341" s="7"/>
      <c r="F341" s="7"/>
      <c r="G341" s="7"/>
      <c r="H341" s="7"/>
      <c r="J341" s="7"/>
      <c r="K341" s="7"/>
      <c r="L341" s="7"/>
      <c r="M341" s="7"/>
      <c r="N341" s="7"/>
      <c r="O341" s="7"/>
      <c r="P341" s="7"/>
      <c r="Q341" s="7"/>
      <c r="R341" s="7"/>
      <c r="S341" s="7"/>
      <c r="T341" s="7"/>
      <c r="U341" s="7"/>
      <c r="V341" s="7"/>
      <c r="W341" s="7"/>
      <c r="X341" s="7"/>
      <c r="Y341" s="7"/>
    </row>
    <row r="342" spans="1:25" ht="15">
      <c r="A342" s="81"/>
      <c r="B342" s="7"/>
      <c r="C342" s="7"/>
      <c r="D342" s="7"/>
      <c r="E342" s="7"/>
      <c r="F342" s="7"/>
      <c r="G342" s="7"/>
      <c r="H342" s="7"/>
      <c r="J342" s="7"/>
      <c r="K342" s="7"/>
      <c r="L342" s="7"/>
      <c r="M342" s="7"/>
      <c r="N342" s="7"/>
      <c r="O342" s="7"/>
      <c r="P342" s="7"/>
      <c r="Q342" s="7"/>
      <c r="R342" s="7"/>
      <c r="S342" s="7"/>
      <c r="T342" s="7"/>
      <c r="U342" s="7"/>
      <c r="V342" s="7"/>
      <c r="W342" s="7"/>
      <c r="X342" s="7"/>
      <c r="Y342" s="7"/>
    </row>
    <row r="343" spans="1:25" ht="15">
      <c r="A343" s="81"/>
      <c r="B343" s="7"/>
      <c r="C343" s="7"/>
      <c r="D343" s="7"/>
      <c r="E343" s="7"/>
      <c r="F343" s="7"/>
      <c r="G343" s="7"/>
      <c r="H343" s="7"/>
      <c r="J343" s="7"/>
      <c r="K343" s="7"/>
      <c r="L343" s="7"/>
      <c r="M343" s="7"/>
      <c r="N343" s="7"/>
      <c r="O343" s="7"/>
      <c r="P343" s="7"/>
      <c r="Q343" s="7"/>
      <c r="R343" s="7"/>
      <c r="S343" s="7"/>
      <c r="T343" s="7"/>
      <c r="U343" s="7"/>
      <c r="V343" s="7"/>
      <c r="W343" s="7"/>
      <c r="X343" s="7"/>
      <c r="Y343" s="7"/>
    </row>
    <row r="344" spans="1:25" ht="15">
      <c r="A344" s="81"/>
      <c r="B344" s="7"/>
      <c r="C344" s="7"/>
      <c r="D344" s="7"/>
      <c r="E344" s="7"/>
      <c r="F344" s="7"/>
      <c r="G344" s="7"/>
      <c r="H344" s="7"/>
      <c r="J344" s="7"/>
      <c r="K344" s="7"/>
      <c r="L344" s="7"/>
      <c r="M344" s="7"/>
      <c r="N344" s="7"/>
      <c r="O344" s="7"/>
      <c r="P344" s="7"/>
      <c r="Q344" s="7"/>
      <c r="R344" s="7"/>
      <c r="S344" s="7"/>
      <c r="T344" s="7"/>
      <c r="U344" s="7"/>
      <c r="V344" s="7"/>
      <c r="W344" s="7"/>
      <c r="X344" s="7"/>
      <c r="Y344" s="7"/>
    </row>
    <row r="345" spans="1:25" ht="15">
      <c r="A345" s="81"/>
      <c r="B345" s="7"/>
      <c r="C345" s="7"/>
      <c r="D345" s="7"/>
      <c r="E345" s="7"/>
      <c r="F345" s="7"/>
      <c r="G345" s="7"/>
      <c r="H345" s="7"/>
      <c r="J345" s="7"/>
      <c r="K345" s="7"/>
      <c r="L345" s="7"/>
      <c r="M345" s="7"/>
      <c r="N345" s="7"/>
      <c r="O345" s="7"/>
      <c r="P345" s="7"/>
      <c r="Q345" s="7"/>
      <c r="R345" s="7"/>
      <c r="S345" s="7"/>
      <c r="T345" s="7"/>
      <c r="U345" s="7"/>
      <c r="V345" s="7"/>
      <c r="W345" s="7"/>
      <c r="X345" s="7"/>
      <c r="Y345" s="7"/>
    </row>
    <row r="346" spans="1:25" ht="15">
      <c r="A346" s="81"/>
      <c r="B346" s="7"/>
      <c r="C346" s="7"/>
      <c r="D346" s="7"/>
      <c r="E346" s="7"/>
      <c r="F346" s="7"/>
      <c r="G346" s="7"/>
      <c r="H346" s="7"/>
      <c r="J346" s="7"/>
      <c r="K346" s="7"/>
      <c r="L346" s="7"/>
      <c r="M346" s="7"/>
      <c r="N346" s="7"/>
      <c r="O346" s="7"/>
      <c r="P346" s="7"/>
      <c r="Q346" s="7"/>
      <c r="R346" s="7"/>
      <c r="S346" s="7"/>
      <c r="T346" s="7"/>
      <c r="U346" s="7"/>
      <c r="V346" s="7"/>
      <c r="W346" s="7"/>
      <c r="X346" s="7"/>
      <c r="Y346" s="7"/>
    </row>
    <row r="347" spans="1:25" ht="15">
      <c r="A347" s="81"/>
      <c r="B347" s="7"/>
      <c r="C347" s="7"/>
      <c r="D347" s="7"/>
      <c r="E347" s="7"/>
      <c r="F347" s="7"/>
      <c r="G347" s="7"/>
      <c r="H347" s="7"/>
      <c r="J347" s="7"/>
      <c r="K347" s="7"/>
      <c r="L347" s="7"/>
      <c r="M347" s="7"/>
      <c r="N347" s="7"/>
      <c r="O347" s="7"/>
      <c r="P347" s="7"/>
      <c r="Q347" s="7"/>
      <c r="R347" s="7"/>
      <c r="S347" s="7"/>
      <c r="T347" s="7"/>
      <c r="U347" s="7"/>
      <c r="V347" s="7"/>
      <c r="W347" s="7"/>
      <c r="X347" s="7"/>
      <c r="Y347" s="7"/>
    </row>
    <row r="348" spans="1:25" ht="15">
      <c r="A348" s="81"/>
      <c r="B348" s="7"/>
      <c r="C348" s="7"/>
      <c r="D348" s="7"/>
      <c r="E348" s="7"/>
      <c r="F348" s="7"/>
      <c r="G348" s="7"/>
      <c r="H348" s="7"/>
      <c r="J348" s="7"/>
      <c r="K348" s="7"/>
      <c r="L348" s="7"/>
      <c r="M348" s="7"/>
      <c r="N348" s="7"/>
      <c r="O348" s="7"/>
      <c r="P348" s="7"/>
      <c r="Q348" s="7"/>
      <c r="R348" s="7"/>
      <c r="S348" s="7"/>
      <c r="T348" s="7"/>
      <c r="U348" s="7"/>
      <c r="V348" s="7"/>
      <c r="W348" s="7"/>
      <c r="X348" s="7"/>
      <c r="Y348" s="7"/>
    </row>
    <row r="349" spans="1:25" ht="15">
      <c r="A349" s="81"/>
      <c r="B349" s="7"/>
      <c r="C349" s="7"/>
      <c r="D349" s="7"/>
      <c r="E349" s="7"/>
      <c r="F349" s="7"/>
      <c r="G349" s="7"/>
      <c r="H349" s="7"/>
      <c r="J349" s="7"/>
      <c r="K349" s="7"/>
      <c r="L349" s="7"/>
      <c r="M349" s="7"/>
      <c r="N349" s="7"/>
      <c r="O349" s="7"/>
      <c r="P349" s="7"/>
      <c r="Q349" s="7"/>
      <c r="R349" s="7"/>
      <c r="S349" s="7"/>
      <c r="T349" s="7"/>
      <c r="U349" s="7"/>
      <c r="V349" s="7"/>
      <c r="W349" s="7"/>
      <c r="X349" s="7"/>
      <c r="Y349" s="7"/>
    </row>
    <row r="350" spans="1:25" ht="15">
      <c r="A350" s="81"/>
      <c r="B350" s="7"/>
      <c r="C350" s="7"/>
      <c r="D350" s="7"/>
      <c r="E350" s="7"/>
      <c r="F350" s="7"/>
      <c r="G350" s="7"/>
      <c r="H350" s="7"/>
      <c r="J350" s="7"/>
      <c r="K350" s="7"/>
      <c r="L350" s="7"/>
      <c r="M350" s="7"/>
      <c r="N350" s="7"/>
      <c r="O350" s="7"/>
      <c r="P350" s="7"/>
      <c r="Q350" s="7"/>
      <c r="R350" s="7"/>
      <c r="S350" s="7"/>
      <c r="T350" s="7"/>
      <c r="U350" s="7"/>
      <c r="V350" s="7"/>
      <c r="W350" s="7"/>
      <c r="X350" s="7"/>
      <c r="Y350" s="7"/>
    </row>
    <row r="351" spans="1:25" ht="15">
      <c r="A351" s="81"/>
      <c r="B351" s="7"/>
      <c r="C351" s="7"/>
      <c r="D351" s="7"/>
      <c r="E351" s="7"/>
      <c r="F351" s="7"/>
      <c r="G351" s="7"/>
      <c r="H351" s="7"/>
      <c r="J351" s="7"/>
      <c r="K351" s="7"/>
      <c r="L351" s="7"/>
      <c r="M351" s="7"/>
      <c r="N351" s="7"/>
      <c r="O351" s="7"/>
      <c r="P351" s="7"/>
      <c r="Q351" s="7"/>
      <c r="R351" s="7"/>
      <c r="S351" s="7"/>
      <c r="T351" s="7"/>
      <c r="U351" s="7"/>
      <c r="V351" s="7"/>
      <c r="W351" s="7"/>
      <c r="X351" s="7"/>
      <c r="Y351" s="7"/>
    </row>
    <row r="352" spans="1:25" ht="15">
      <c r="A352" s="81"/>
      <c r="B352" s="7"/>
      <c r="C352" s="7"/>
      <c r="D352" s="7"/>
      <c r="E352" s="7"/>
      <c r="F352" s="7"/>
      <c r="G352" s="7"/>
      <c r="H352" s="7"/>
      <c r="J352" s="7"/>
      <c r="K352" s="7"/>
      <c r="L352" s="7"/>
      <c r="M352" s="7"/>
      <c r="N352" s="7"/>
      <c r="O352" s="7"/>
      <c r="P352" s="7"/>
      <c r="Q352" s="7"/>
      <c r="R352" s="7"/>
      <c r="S352" s="7"/>
      <c r="T352" s="7"/>
      <c r="U352" s="7"/>
      <c r="V352" s="7"/>
      <c r="W352" s="7"/>
      <c r="X352" s="7"/>
      <c r="Y352" s="7"/>
    </row>
    <row r="353" spans="1:25" ht="15">
      <c r="A353" s="81"/>
      <c r="B353" s="7"/>
      <c r="C353" s="7"/>
      <c r="D353" s="7"/>
      <c r="E353" s="7"/>
      <c r="F353" s="7"/>
      <c r="G353" s="7"/>
      <c r="H353" s="7"/>
      <c r="J353" s="7"/>
      <c r="K353" s="7"/>
      <c r="L353" s="7"/>
      <c r="M353" s="7"/>
      <c r="N353" s="7"/>
      <c r="O353" s="7"/>
      <c r="P353" s="7"/>
      <c r="Q353" s="7"/>
      <c r="R353" s="7"/>
      <c r="S353" s="7"/>
      <c r="T353" s="7"/>
      <c r="U353" s="7"/>
      <c r="V353" s="7"/>
      <c r="W353" s="7"/>
      <c r="X353" s="7"/>
      <c r="Y353" s="7"/>
    </row>
    <row r="354" spans="1:25" ht="15">
      <c r="A354" s="81"/>
      <c r="B354" s="7"/>
      <c r="C354" s="7"/>
      <c r="D354" s="7"/>
      <c r="E354" s="7"/>
      <c r="F354" s="7"/>
      <c r="G354" s="7"/>
      <c r="H354" s="7"/>
      <c r="J354" s="7"/>
      <c r="K354" s="7"/>
      <c r="L354" s="7"/>
      <c r="M354" s="7"/>
      <c r="N354" s="7"/>
      <c r="O354" s="7"/>
      <c r="P354" s="7"/>
      <c r="Q354" s="7"/>
      <c r="R354" s="7"/>
      <c r="S354" s="7"/>
      <c r="T354" s="7"/>
      <c r="U354" s="7"/>
      <c r="V354" s="7"/>
      <c r="W354" s="7"/>
      <c r="X354" s="7"/>
      <c r="Y354" s="7"/>
    </row>
    <row r="355" spans="1:25" ht="15">
      <c r="A355" s="81"/>
      <c r="B355" s="7"/>
      <c r="C355" s="7"/>
      <c r="D355" s="7"/>
      <c r="E355" s="7"/>
      <c r="F355" s="7"/>
      <c r="G355" s="7"/>
      <c r="H355" s="7"/>
      <c r="J355" s="7"/>
      <c r="K355" s="7"/>
      <c r="L355" s="7"/>
      <c r="M355" s="7"/>
      <c r="N355" s="7"/>
      <c r="O355" s="7"/>
      <c r="P355" s="7"/>
      <c r="Q355" s="7"/>
      <c r="R355" s="7"/>
      <c r="S355" s="7"/>
      <c r="T355" s="7"/>
      <c r="U355" s="7"/>
      <c r="V355" s="7"/>
      <c r="W355" s="7"/>
      <c r="X355" s="7"/>
      <c r="Y355" s="7"/>
    </row>
    <row r="356" spans="1:25" ht="15">
      <c r="A356" s="81"/>
      <c r="B356" s="7"/>
      <c r="C356" s="7"/>
      <c r="D356" s="7"/>
      <c r="E356" s="7"/>
      <c r="F356" s="7"/>
      <c r="G356" s="7"/>
      <c r="H356" s="7"/>
      <c r="J356" s="7"/>
      <c r="K356" s="7"/>
      <c r="L356" s="7"/>
      <c r="M356" s="7"/>
      <c r="N356" s="7"/>
      <c r="O356" s="7"/>
      <c r="P356" s="7"/>
      <c r="Q356" s="7"/>
      <c r="R356" s="7"/>
      <c r="S356" s="7"/>
      <c r="T356" s="7"/>
      <c r="U356" s="7"/>
      <c r="V356" s="7"/>
      <c r="W356" s="7"/>
      <c r="X356" s="7"/>
      <c r="Y356" s="7"/>
    </row>
    <row r="357" spans="1:25" ht="15">
      <c r="A357" s="81"/>
      <c r="B357" s="7"/>
      <c r="C357" s="7"/>
      <c r="D357" s="7"/>
      <c r="E357" s="7"/>
      <c r="F357" s="7"/>
      <c r="G357" s="7"/>
      <c r="H357" s="7"/>
      <c r="J357" s="7"/>
      <c r="K357" s="7"/>
      <c r="L357" s="7"/>
      <c r="M357" s="7"/>
      <c r="N357" s="7"/>
      <c r="O357" s="7"/>
      <c r="P357" s="7"/>
      <c r="Q357" s="7"/>
      <c r="R357" s="7"/>
      <c r="S357" s="7"/>
      <c r="T357" s="7"/>
      <c r="U357" s="7"/>
      <c r="V357" s="7"/>
      <c r="W357" s="7"/>
      <c r="X357" s="7"/>
      <c r="Y357" s="7"/>
    </row>
    <row r="358" spans="1:25" ht="15">
      <c r="A358" s="81"/>
      <c r="B358" s="7"/>
      <c r="C358" s="7"/>
      <c r="D358" s="7"/>
      <c r="E358" s="7"/>
      <c r="F358" s="7"/>
      <c r="G358" s="7"/>
      <c r="H358" s="7"/>
      <c r="J358" s="7"/>
      <c r="K358" s="7"/>
      <c r="L358" s="7"/>
      <c r="M358" s="7"/>
      <c r="N358" s="7"/>
      <c r="O358" s="7"/>
      <c r="P358" s="7"/>
      <c r="Q358" s="7"/>
      <c r="R358" s="7"/>
      <c r="S358" s="7"/>
      <c r="T358" s="7"/>
      <c r="U358" s="7"/>
      <c r="V358" s="7"/>
      <c r="W358" s="7"/>
      <c r="X358" s="7"/>
      <c r="Y358" s="7"/>
    </row>
    <row r="359" spans="1:25" ht="15">
      <c r="A359" s="81"/>
      <c r="B359" s="7"/>
      <c r="C359" s="7"/>
      <c r="D359" s="7"/>
      <c r="E359" s="7"/>
      <c r="F359" s="7"/>
      <c r="G359" s="7"/>
      <c r="H359" s="7"/>
      <c r="J359" s="7"/>
      <c r="K359" s="7"/>
      <c r="L359" s="7"/>
      <c r="M359" s="7"/>
      <c r="N359" s="7"/>
      <c r="O359" s="7"/>
      <c r="P359" s="7"/>
      <c r="Q359" s="7"/>
      <c r="R359" s="7"/>
      <c r="S359" s="7"/>
      <c r="T359" s="7"/>
      <c r="U359" s="7"/>
      <c r="V359" s="7"/>
      <c r="W359" s="7"/>
      <c r="X359" s="7"/>
      <c r="Y359" s="7"/>
    </row>
    <row r="360" spans="1:25" ht="15">
      <c r="A360" s="81"/>
      <c r="B360" s="7"/>
      <c r="C360" s="7"/>
      <c r="D360" s="7"/>
      <c r="E360" s="7"/>
      <c r="F360" s="7"/>
      <c r="G360" s="7"/>
      <c r="H360" s="7"/>
      <c r="J360" s="7"/>
      <c r="K360" s="7"/>
      <c r="L360" s="7"/>
      <c r="M360" s="7"/>
      <c r="N360" s="7"/>
      <c r="O360" s="7"/>
      <c r="P360" s="7"/>
      <c r="Q360" s="7"/>
      <c r="R360" s="7"/>
      <c r="S360" s="7"/>
      <c r="T360" s="7"/>
      <c r="U360" s="7"/>
      <c r="V360" s="7"/>
      <c r="W360" s="7"/>
      <c r="X360" s="7"/>
      <c r="Y360" s="7"/>
    </row>
    <row r="361" spans="1:25" ht="15">
      <c r="A361" s="81"/>
      <c r="B361" s="7"/>
      <c r="C361" s="7"/>
      <c r="D361" s="7"/>
      <c r="E361" s="7"/>
      <c r="F361" s="7"/>
      <c r="G361" s="7"/>
      <c r="H361" s="7"/>
      <c r="J361" s="7"/>
      <c r="K361" s="7"/>
      <c r="L361" s="7"/>
      <c r="M361" s="7"/>
      <c r="N361" s="7"/>
      <c r="O361" s="7"/>
      <c r="P361" s="7"/>
      <c r="Q361" s="7"/>
      <c r="R361" s="7"/>
      <c r="S361" s="7"/>
      <c r="T361" s="7"/>
      <c r="U361" s="7"/>
      <c r="V361" s="7"/>
      <c r="W361" s="7"/>
      <c r="X361" s="7"/>
      <c r="Y361" s="7"/>
    </row>
    <row r="362" spans="1:25" ht="15">
      <c r="A362" s="81"/>
      <c r="B362" s="7"/>
      <c r="C362" s="7"/>
      <c r="D362" s="7"/>
      <c r="E362" s="7"/>
      <c r="F362" s="7"/>
      <c r="G362" s="7"/>
      <c r="H362" s="7"/>
      <c r="J362" s="7"/>
      <c r="K362" s="7"/>
      <c r="L362" s="7"/>
      <c r="M362" s="7"/>
      <c r="N362" s="7"/>
      <c r="O362" s="7"/>
      <c r="P362" s="7"/>
      <c r="Q362" s="7"/>
      <c r="R362" s="7"/>
      <c r="S362" s="7"/>
      <c r="T362" s="7"/>
      <c r="U362" s="7"/>
      <c r="V362" s="7"/>
      <c r="W362" s="7"/>
      <c r="X362" s="7"/>
      <c r="Y362" s="7"/>
    </row>
    <row r="363" spans="1:25" ht="15">
      <c r="A363" s="81"/>
      <c r="B363" s="7"/>
      <c r="C363" s="7"/>
      <c r="D363" s="7"/>
      <c r="E363" s="7"/>
      <c r="F363" s="7"/>
      <c r="G363" s="7"/>
      <c r="H363" s="7"/>
      <c r="J363" s="7"/>
      <c r="K363" s="7"/>
      <c r="L363" s="7"/>
      <c r="M363" s="7"/>
      <c r="N363" s="7"/>
      <c r="O363" s="7"/>
      <c r="P363" s="7"/>
      <c r="Q363" s="7"/>
      <c r="R363" s="7"/>
      <c r="S363" s="7"/>
      <c r="T363" s="7"/>
      <c r="U363" s="7"/>
      <c r="V363" s="7"/>
      <c r="W363" s="7"/>
      <c r="X363" s="7"/>
      <c r="Y363" s="7"/>
    </row>
    <row r="364" spans="1:25" ht="15">
      <c r="A364" s="81"/>
      <c r="B364" s="7"/>
      <c r="C364" s="7"/>
      <c r="D364" s="7"/>
      <c r="E364" s="7"/>
      <c r="F364" s="7"/>
      <c r="G364" s="7"/>
      <c r="H364" s="7"/>
      <c r="J364" s="7"/>
      <c r="K364" s="7"/>
      <c r="L364" s="7"/>
      <c r="M364" s="7"/>
      <c r="N364" s="7"/>
      <c r="O364" s="7"/>
      <c r="P364" s="7"/>
      <c r="Q364" s="7"/>
      <c r="R364" s="7"/>
      <c r="S364" s="7"/>
      <c r="T364" s="7"/>
      <c r="U364" s="7"/>
      <c r="V364" s="7"/>
      <c r="W364" s="7"/>
      <c r="X364" s="7"/>
      <c r="Y364" s="7"/>
    </row>
    <row r="365" spans="1:25" ht="15">
      <c r="A365" s="81"/>
      <c r="B365" s="7"/>
      <c r="C365" s="7"/>
      <c r="D365" s="7"/>
      <c r="E365" s="7"/>
      <c r="F365" s="7"/>
      <c r="G365" s="7"/>
      <c r="H365" s="7"/>
      <c r="J365" s="7"/>
      <c r="K365" s="7"/>
      <c r="L365" s="7"/>
      <c r="M365" s="7"/>
      <c r="N365" s="7"/>
      <c r="O365" s="7"/>
      <c r="P365" s="7"/>
      <c r="Q365" s="7"/>
      <c r="R365" s="7"/>
      <c r="S365" s="7"/>
      <c r="T365" s="7"/>
      <c r="U365" s="7"/>
      <c r="V365" s="7"/>
      <c r="W365" s="7"/>
      <c r="X365" s="7"/>
      <c r="Y365" s="7"/>
    </row>
    <row r="366" spans="1:25" ht="15">
      <c r="A366" s="81"/>
      <c r="B366" s="7"/>
      <c r="C366" s="7"/>
      <c r="D366" s="7"/>
      <c r="E366" s="7"/>
      <c r="F366" s="7"/>
      <c r="G366" s="7"/>
      <c r="H366" s="7"/>
      <c r="J366" s="7"/>
      <c r="K366" s="7"/>
      <c r="L366" s="7"/>
      <c r="M366" s="7"/>
      <c r="N366" s="7"/>
      <c r="O366" s="7"/>
      <c r="P366" s="7"/>
      <c r="Q366" s="7"/>
      <c r="R366" s="7"/>
      <c r="S366" s="7"/>
      <c r="T366" s="7"/>
      <c r="U366" s="7"/>
      <c r="V366" s="7"/>
      <c r="W366" s="7"/>
      <c r="X366" s="7"/>
      <c r="Y366" s="7"/>
    </row>
    <row r="367" spans="1:25" ht="15">
      <c r="A367" s="81"/>
      <c r="B367" s="7"/>
      <c r="C367" s="7"/>
      <c r="D367" s="7"/>
      <c r="E367" s="7"/>
      <c r="F367" s="7"/>
      <c r="G367" s="7"/>
      <c r="H367" s="7"/>
      <c r="J367" s="7"/>
      <c r="K367" s="7"/>
      <c r="L367" s="7"/>
      <c r="M367" s="7"/>
      <c r="N367" s="7"/>
      <c r="O367" s="7"/>
      <c r="P367" s="7"/>
      <c r="Q367" s="7"/>
      <c r="R367" s="7"/>
      <c r="S367" s="7"/>
      <c r="T367" s="7"/>
      <c r="U367" s="7"/>
      <c r="V367" s="7"/>
      <c r="W367" s="7"/>
      <c r="X367" s="7"/>
      <c r="Y367" s="7"/>
    </row>
    <row r="368" spans="1:25" ht="15">
      <c r="A368" s="81"/>
      <c r="B368" s="7"/>
      <c r="C368" s="7"/>
      <c r="D368" s="7"/>
      <c r="E368" s="7"/>
      <c r="F368" s="7"/>
      <c r="G368" s="7"/>
      <c r="H368" s="7"/>
      <c r="J368" s="7"/>
      <c r="K368" s="7"/>
      <c r="L368" s="7"/>
      <c r="M368" s="7"/>
      <c r="N368" s="7"/>
      <c r="O368" s="7"/>
      <c r="P368" s="7"/>
      <c r="Q368" s="7"/>
      <c r="R368" s="7"/>
      <c r="S368" s="7"/>
      <c r="T368" s="7"/>
      <c r="U368" s="7"/>
      <c r="V368" s="7"/>
      <c r="W368" s="7"/>
      <c r="X368" s="7"/>
      <c r="Y368" s="7"/>
    </row>
    <row r="369" spans="1:25" ht="15">
      <c r="A369" s="81"/>
      <c r="B369" s="7"/>
      <c r="C369" s="7"/>
      <c r="D369" s="7"/>
      <c r="E369" s="7"/>
      <c r="F369" s="7"/>
      <c r="G369" s="7"/>
      <c r="H369" s="7"/>
      <c r="J369" s="7"/>
      <c r="K369" s="7"/>
      <c r="L369" s="7"/>
      <c r="M369" s="7"/>
      <c r="N369" s="7"/>
      <c r="O369" s="7"/>
      <c r="P369" s="7"/>
      <c r="Q369" s="7"/>
      <c r="R369" s="7"/>
      <c r="S369" s="7"/>
      <c r="T369" s="7"/>
      <c r="U369" s="7"/>
      <c r="V369" s="7"/>
      <c r="W369" s="7"/>
      <c r="X369" s="7"/>
      <c r="Y369" s="7"/>
    </row>
    <row r="370" spans="1:25" ht="15">
      <c r="A370" s="81"/>
      <c r="B370" s="7"/>
      <c r="C370" s="7"/>
      <c r="D370" s="7"/>
      <c r="E370" s="7"/>
      <c r="F370" s="7"/>
      <c r="G370" s="7"/>
      <c r="H370" s="7"/>
      <c r="J370" s="7"/>
      <c r="K370" s="7"/>
      <c r="L370" s="7"/>
      <c r="M370" s="7"/>
      <c r="N370" s="7"/>
      <c r="O370" s="7"/>
      <c r="P370" s="7"/>
      <c r="Q370" s="7"/>
      <c r="R370" s="7"/>
      <c r="S370" s="7"/>
      <c r="T370" s="7"/>
      <c r="U370" s="7"/>
      <c r="V370" s="7"/>
      <c r="W370" s="7"/>
      <c r="X370" s="7"/>
      <c r="Y370" s="7"/>
    </row>
    <row r="371" spans="1:25" ht="15">
      <c r="A371" s="81"/>
      <c r="B371" s="7"/>
      <c r="C371" s="7"/>
      <c r="D371" s="7"/>
      <c r="E371" s="7"/>
      <c r="F371" s="7"/>
      <c r="G371" s="7"/>
      <c r="H371" s="7"/>
      <c r="J371" s="7"/>
      <c r="K371" s="7"/>
      <c r="L371" s="7"/>
      <c r="M371" s="7"/>
      <c r="N371" s="7"/>
      <c r="O371" s="7"/>
      <c r="P371" s="7"/>
      <c r="Q371" s="7"/>
      <c r="R371" s="7"/>
      <c r="S371" s="7"/>
      <c r="T371" s="7"/>
      <c r="U371" s="7"/>
      <c r="V371" s="7"/>
      <c r="W371" s="7"/>
      <c r="X371" s="7"/>
      <c r="Y371" s="7"/>
    </row>
    <row r="372" spans="1:25" ht="15">
      <c r="A372" s="81"/>
      <c r="B372" s="7"/>
      <c r="C372" s="7"/>
      <c r="D372" s="7"/>
      <c r="E372" s="7"/>
      <c r="F372" s="7"/>
      <c r="G372" s="7"/>
      <c r="H372" s="7"/>
      <c r="J372" s="7"/>
      <c r="K372" s="7"/>
      <c r="L372" s="7"/>
      <c r="M372" s="7"/>
      <c r="N372" s="7"/>
      <c r="O372" s="7"/>
      <c r="P372" s="7"/>
      <c r="Q372" s="7"/>
      <c r="R372" s="7"/>
      <c r="S372" s="7"/>
      <c r="T372" s="7"/>
      <c r="U372" s="7"/>
      <c r="V372" s="7"/>
      <c r="W372" s="7"/>
      <c r="X372" s="7"/>
      <c r="Y372" s="7"/>
    </row>
    <row r="373" spans="1:25" ht="15">
      <c r="A373" s="81"/>
      <c r="B373" s="7"/>
      <c r="C373" s="7"/>
      <c r="D373" s="7"/>
      <c r="E373" s="7"/>
      <c r="F373" s="7"/>
      <c r="G373" s="7"/>
      <c r="H373" s="7"/>
      <c r="J373" s="7"/>
      <c r="K373" s="7"/>
      <c r="L373" s="7"/>
      <c r="M373" s="7"/>
      <c r="N373" s="7"/>
      <c r="O373" s="7"/>
      <c r="P373" s="7"/>
      <c r="Q373" s="7"/>
      <c r="R373" s="7"/>
      <c r="S373" s="7"/>
      <c r="T373" s="7"/>
      <c r="U373" s="7"/>
      <c r="V373" s="7"/>
      <c r="W373" s="7"/>
      <c r="X373" s="7"/>
      <c r="Y373" s="7"/>
    </row>
    <row r="374" spans="1:25" ht="15">
      <c r="A374" s="81"/>
      <c r="B374" s="7"/>
      <c r="C374" s="7"/>
      <c r="D374" s="7"/>
      <c r="E374" s="7"/>
      <c r="F374" s="7"/>
      <c r="G374" s="7"/>
      <c r="H374" s="7"/>
      <c r="J374" s="7"/>
      <c r="K374" s="7"/>
      <c r="L374" s="7"/>
      <c r="M374" s="7"/>
      <c r="N374" s="7"/>
      <c r="O374" s="7"/>
      <c r="P374" s="7"/>
      <c r="Q374" s="7"/>
      <c r="R374" s="7"/>
      <c r="S374" s="7"/>
      <c r="T374" s="7"/>
      <c r="U374" s="7"/>
      <c r="V374" s="7"/>
      <c r="W374" s="7"/>
      <c r="X374" s="7"/>
      <c r="Y374" s="7"/>
    </row>
    <row r="375" spans="1:25" ht="15">
      <c r="A375" s="81"/>
      <c r="B375" s="7"/>
      <c r="C375" s="7"/>
      <c r="D375" s="7"/>
      <c r="E375" s="7"/>
      <c r="F375" s="7"/>
      <c r="G375" s="7"/>
      <c r="H375" s="7"/>
      <c r="J375" s="7"/>
      <c r="K375" s="7"/>
      <c r="L375" s="7"/>
      <c r="M375" s="7"/>
      <c r="N375" s="7"/>
      <c r="O375" s="7"/>
      <c r="P375" s="7"/>
      <c r="Q375" s="7"/>
      <c r="R375" s="7"/>
      <c r="S375" s="7"/>
      <c r="T375" s="7"/>
      <c r="U375" s="7"/>
      <c r="V375" s="7"/>
      <c r="W375" s="7"/>
      <c r="X375" s="7"/>
      <c r="Y375" s="7"/>
    </row>
    <row r="376" spans="1:25" ht="15">
      <c r="A376" s="81"/>
      <c r="B376" s="7"/>
      <c r="C376" s="7"/>
      <c r="D376" s="7"/>
      <c r="E376" s="7"/>
      <c r="F376" s="7"/>
      <c r="G376" s="7"/>
      <c r="H376" s="7"/>
      <c r="J376" s="7"/>
      <c r="K376" s="7"/>
      <c r="L376" s="7"/>
      <c r="M376" s="7"/>
      <c r="N376" s="7"/>
      <c r="O376" s="7"/>
      <c r="P376" s="7"/>
      <c r="Q376" s="7"/>
      <c r="R376" s="7"/>
      <c r="S376" s="7"/>
      <c r="T376" s="7"/>
      <c r="U376" s="7"/>
      <c r="V376" s="7"/>
      <c r="W376" s="7"/>
      <c r="X376" s="7"/>
      <c r="Y376" s="7"/>
    </row>
    <row r="377" spans="1:25" ht="15">
      <c r="A377" s="81"/>
      <c r="B377" s="7"/>
      <c r="C377" s="7"/>
      <c r="D377" s="7"/>
      <c r="E377" s="7"/>
      <c r="F377" s="7"/>
      <c r="G377" s="7"/>
      <c r="H377" s="7"/>
      <c r="J377" s="7"/>
      <c r="K377" s="7"/>
      <c r="L377" s="7"/>
      <c r="M377" s="7"/>
      <c r="N377" s="7"/>
      <c r="O377" s="7"/>
      <c r="P377" s="7"/>
      <c r="Q377" s="7"/>
      <c r="R377" s="7"/>
      <c r="S377" s="7"/>
      <c r="T377" s="7"/>
      <c r="U377" s="7"/>
      <c r="V377" s="7"/>
      <c r="W377" s="7"/>
      <c r="X377" s="7"/>
      <c r="Y377" s="7"/>
    </row>
    <row r="378" spans="1:25" ht="15">
      <c r="A378" s="81"/>
      <c r="B378" s="7"/>
      <c r="C378" s="7"/>
      <c r="D378" s="7"/>
      <c r="E378" s="7"/>
      <c r="F378" s="7"/>
      <c r="G378" s="7"/>
      <c r="H378" s="7"/>
      <c r="J378" s="7"/>
      <c r="K378" s="7"/>
      <c r="L378" s="7"/>
      <c r="M378" s="7"/>
      <c r="N378" s="7"/>
      <c r="O378" s="7"/>
      <c r="P378" s="7"/>
      <c r="Q378" s="7"/>
      <c r="R378" s="7"/>
      <c r="S378" s="7"/>
      <c r="T378" s="7"/>
      <c r="U378" s="7"/>
      <c r="V378" s="7"/>
      <c r="W378" s="7"/>
      <c r="X378" s="7"/>
      <c r="Y378" s="7"/>
    </row>
    <row r="379" spans="1:25" ht="15">
      <c r="A379" s="81"/>
      <c r="B379" s="7"/>
      <c r="C379" s="7"/>
      <c r="D379" s="7"/>
      <c r="E379" s="7"/>
      <c r="F379" s="7"/>
      <c r="G379" s="7"/>
      <c r="H379" s="7"/>
      <c r="J379" s="7"/>
      <c r="K379" s="7"/>
      <c r="L379" s="7"/>
      <c r="M379" s="7"/>
      <c r="N379" s="7"/>
      <c r="O379" s="7"/>
      <c r="P379" s="7"/>
      <c r="Q379" s="7"/>
      <c r="R379" s="7"/>
      <c r="S379" s="7"/>
      <c r="T379" s="7"/>
      <c r="U379" s="7"/>
      <c r="V379" s="7"/>
      <c r="W379" s="7"/>
      <c r="X379" s="7"/>
      <c r="Y379" s="7"/>
    </row>
    <row r="380" spans="1:25" ht="15">
      <c r="A380" s="81"/>
      <c r="B380" s="7"/>
      <c r="C380" s="7"/>
      <c r="D380" s="7"/>
      <c r="E380" s="7"/>
      <c r="F380" s="7"/>
      <c r="G380" s="7"/>
      <c r="H380" s="7"/>
      <c r="J380" s="7"/>
      <c r="K380" s="7"/>
      <c r="L380" s="7"/>
      <c r="M380" s="7"/>
      <c r="N380" s="7"/>
      <c r="O380" s="7"/>
      <c r="P380" s="7"/>
      <c r="Q380" s="7"/>
      <c r="R380" s="7"/>
      <c r="S380" s="7"/>
      <c r="T380" s="7"/>
      <c r="U380" s="7"/>
      <c r="V380" s="7"/>
      <c r="W380" s="7"/>
      <c r="X380" s="7"/>
      <c r="Y380" s="7"/>
    </row>
    <row r="381" spans="1:25" ht="15">
      <c r="A381" s="81"/>
      <c r="B381" s="7"/>
      <c r="C381" s="7"/>
      <c r="D381" s="7"/>
      <c r="E381" s="7"/>
      <c r="F381" s="7"/>
      <c r="G381" s="7"/>
      <c r="H381" s="7"/>
      <c r="J381" s="7"/>
      <c r="K381" s="7"/>
      <c r="L381" s="7"/>
      <c r="M381" s="7"/>
      <c r="N381" s="7"/>
      <c r="O381" s="7"/>
      <c r="P381" s="7"/>
      <c r="Q381" s="7"/>
      <c r="R381" s="7"/>
      <c r="S381" s="7"/>
      <c r="T381" s="7"/>
      <c r="U381" s="7"/>
      <c r="V381" s="7"/>
      <c r="W381" s="7"/>
      <c r="X381" s="7"/>
      <c r="Y381" s="7"/>
    </row>
    <row r="382" spans="1:25" ht="15">
      <c r="A382" s="81"/>
      <c r="B382" s="7"/>
      <c r="C382" s="7"/>
      <c r="D382" s="7"/>
      <c r="E382" s="7"/>
      <c r="F382" s="7"/>
      <c r="G382" s="7"/>
      <c r="H382" s="7"/>
      <c r="J382" s="7"/>
      <c r="K382" s="7"/>
      <c r="L382" s="7"/>
      <c r="M382" s="7"/>
      <c r="N382" s="7"/>
      <c r="O382" s="7"/>
      <c r="P382" s="7"/>
      <c r="Q382" s="7"/>
      <c r="R382" s="7"/>
      <c r="S382" s="7"/>
      <c r="T382" s="7"/>
      <c r="U382" s="7"/>
      <c r="V382" s="7"/>
      <c r="W382" s="7"/>
      <c r="X382" s="7"/>
      <c r="Y382" s="7"/>
    </row>
    <row r="383" spans="1:25" ht="15">
      <c r="A383" s="81"/>
      <c r="B383" s="7"/>
      <c r="C383" s="7"/>
      <c r="D383" s="7"/>
      <c r="E383" s="7"/>
      <c r="F383" s="7"/>
      <c r="G383" s="7"/>
      <c r="H383" s="7"/>
      <c r="J383" s="7"/>
      <c r="K383" s="7"/>
      <c r="L383" s="7"/>
      <c r="M383" s="7"/>
      <c r="N383" s="7"/>
      <c r="O383" s="7"/>
      <c r="P383" s="7"/>
      <c r="Q383" s="7"/>
      <c r="R383" s="7"/>
      <c r="S383" s="7"/>
      <c r="T383" s="7"/>
      <c r="U383" s="7"/>
      <c r="V383" s="7"/>
      <c r="W383" s="7"/>
      <c r="X383" s="7"/>
      <c r="Y383" s="7"/>
    </row>
    <row r="384" spans="1:25" ht="15">
      <c r="A384" s="81"/>
      <c r="B384" s="7"/>
      <c r="C384" s="7"/>
      <c r="D384" s="7"/>
      <c r="E384" s="7"/>
      <c r="F384" s="7"/>
      <c r="G384" s="7"/>
      <c r="H384" s="7"/>
      <c r="J384" s="7"/>
      <c r="K384" s="7"/>
      <c r="L384" s="7"/>
      <c r="M384" s="7"/>
      <c r="N384" s="7"/>
      <c r="O384" s="7"/>
      <c r="P384" s="7"/>
      <c r="Q384" s="7"/>
      <c r="R384" s="7"/>
      <c r="S384" s="7"/>
      <c r="T384" s="7"/>
      <c r="U384" s="7"/>
      <c r="V384" s="7"/>
      <c r="W384" s="7"/>
      <c r="X384" s="7"/>
      <c r="Y384" s="7"/>
    </row>
    <row r="385" spans="1:25" ht="15">
      <c r="A385" s="81"/>
      <c r="B385" s="7"/>
      <c r="C385" s="7"/>
      <c r="D385" s="7"/>
      <c r="E385" s="7"/>
      <c r="F385" s="7"/>
      <c r="G385" s="7"/>
      <c r="H385" s="7"/>
      <c r="J385" s="7"/>
      <c r="K385" s="7"/>
      <c r="L385" s="7"/>
      <c r="M385" s="7"/>
      <c r="N385" s="7"/>
      <c r="O385" s="7"/>
      <c r="P385" s="7"/>
      <c r="Q385" s="7"/>
      <c r="R385" s="7"/>
      <c r="S385" s="7"/>
      <c r="T385" s="7"/>
      <c r="U385" s="7"/>
      <c r="V385" s="7"/>
      <c r="W385" s="7"/>
      <c r="X385" s="7"/>
      <c r="Y385" s="7"/>
    </row>
    <row r="386" spans="1:25" ht="15">
      <c r="A386" s="81"/>
      <c r="B386" s="7"/>
      <c r="C386" s="7"/>
      <c r="D386" s="7"/>
      <c r="E386" s="7"/>
      <c r="F386" s="7"/>
      <c r="G386" s="7"/>
      <c r="H386" s="7"/>
      <c r="J386" s="7"/>
      <c r="K386" s="7"/>
      <c r="L386" s="7"/>
      <c r="M386" s="7"/>
      <c r="N386" s="7"/>
      <c r="O386" s="7"/>
      <c r="P386" s="7"/>
      <c r="Q386" s="7"/>
      <c r="R386" s="7"/>
      <c r="S386" s="7"/>
      <c r="T386" s="7"/>
      <c r="U386" s="7"/>
      <c r="V386" s="7"/>
      <c r="W386" s="7"/>
      <c r="X386" s="7"/>
      <c r="Y386" s="7"/>
    </row>
    <row r="387" spans="1:25" ht="15">
      <c r="A387" s="81"/>
      <c r="B387" s="7"/>
      <c r="C387" s="7"/>
      <c r="D387" s="7"/>
      <c r="E387" s="7"/>
      <c r="F387" s="7"/>
      <c r="G387" s="7"/>
      <c r="H387" s="7"/>
      <c r="J387" s="7"/>
      <c r="K387" s="7"/>
      <c r="L387" s="7"/>
      <c r="M387" s="7"/>
      <c r="N387" s="7"/>
      <c r="O387" s="7"/>
      <c r="P387" s="7"/>
      <c r="Q387" s="7"/>
      <c r="R387" s="7"/>
      <c r="S387" s="7"/>
      <c r="T387" s="7"/>
      <c r="U387" s="7"/>
      <c r="V387" s="7"/>
      <c r="W387" s="7"/>
      <c r="X387" s="7"/>
      <c r="Y387" s="7"/>
    </row>
    <row r="388" spans="1:25" ht="15">
      <c r="A388" s="81"/>
      <c r="B388" s="7"/>
      <c r="C388" s="7"/>
      <c r="D388" s="7"/>
      <c r="E388" s="7"/>
      <c r="F388" s="7"/>
      <c r="G388" s="7"/>
      <c r="H388" s="7"/>
      <c r="J388" s="7"/>
      <c r="K388" s="7"/>
      <c r="L388" s="7"/>
      <c r="M388" s="7"/>
      <c r="N388" s="7"/>
      <c r="O388" s="7"/>
      <c r="P388" s="7"/>
      <c r="Q388" s="7"/>
      <c r="R388" s="7"/>
      <c r="S388" s="7"/>
      <c r="T388" s="7"/>
      <c r="U388" s="7"/>
      <c r="V388" s="7"/>
      <c r="W388" s="7"/>
      <c r="X388" s="7"/>
      <c r="Y388" s="7"/>
    </row>
    <row r="389" spans="1:25" ht="15">
      <c r="A389" s="81"/>
      <c r="B389" s="7"/>
      <c r="C389" s="7"/>
      <c r="D389" s="7"/>
      <c r="E389" s="7"/>
      <c r="F389" s="7"/>
      <c r="G389" s="7"/>
      <c r="H389" s="7"/>
      <c r="J389" s="7"/>
      <c r="K389" s="7"/>
      <c r="L389" s="7"/>
      <c r="M389" s="7"/>
      <c r="N389" s="7"/>
      <c r="O389" s="7"/>
      <c r="P389" s="7"/>
      <c r="Q389" s="7"/>
      <c r="R389" s="7"/>
      <c r="S389" s="7"/>
      <c r="T389" s="7"/>
      <c r="U389" s="7"/>
      <c r="V389" s="7"/>
      <c r="W389" s="7"/>
      <c r="X389" s="7"/>
      <c r="Y389" s="7"/>
    </row>
    <row r="390" spans="1:25" ht="15">
      <c r="A390" s="81"/>
      <c r="B390" s="7"/>
      <c r="C390" s="7"/>
      <c r="D390" s="7"/>
      <c r="E390" s="7"/>
      <c r="F390" s="7"/>
      <c r="G390" s="7"/>
      <c r="H390" s="7"/>
      <c r="J390" s="7"/>
      <c r="K390" s="7"/>
      <c r="L390" s="7"/>
      <c r="M390" s="7"/>
      <c r="N390" s="7"/>
      <c r="O390" s="7"/>
      <c r="P390" s="7"/>
      <c r="Q390" s="7"/>
      <c r="R390" s="7"/>
      <c r="S390" s="7"/>
      <c r="T390" s="7"/>
      <c r="U390" s="7"/>
      <c r="V390" s="7"/>
      <c r="W390" s="7"/>
      <c r="X390" s="7"/>
      <c r="Y390" s="7"/>
    </row>
    <row r="391" spans="1:25" ht="15">
      <c r="A391" s="81"/>
      <c r="B391" s="7"/>
      <c r="C391" s="7"/>
      <c r="D391" s="7"/>
      <c r="E391" s="7"/>
      <c r="F391" s="7"/>
      <c r="G391" s="7"/>
      <c r="H391" s="7"/>
      <c r="J391" s="7"/>
      <c r="K391" s="7"/>
      <c r="L391" s="7"/>
      <c r="M391" s="7"/>
      <c r="N391" s="7"/>
      <c r="O391" s="7"/>
      <c r="P391" s="7"/>
      <c r="Q391" s="7"/>
      <c r="R391" s="7"/>
      <c r="S391" s="7"/>
      <c r="T391" s="7"/>
      <c r="U391" s="7"/>
      <c r="V391" s="7"/>
      <c r="W391" s="7"/>
      <c r="X391" s="7"/>
      <c r="Y391" s="7"/>
    </row>
    <row r="392" spans="1:25" ht="15">
      <c r="A392" s="81"/>
      <c r="B392" s="7"/>
      <c r="C392" s="7"/>
      <c r="D392" s="7"/>
      <c r="E392" s="7"/>
      <c r="F392" s="7"/>
      <c r="G392" s="7"/>
      <c r="H392" s="7"/>
      <c r="J392" s="7"/>
      <c r="K392" s="7"/>
      <c r="L392" s="7"/>
      <c r="M392" s="7"/>
      <c r="N392" s="7"/>
      <c r="O392" s="7"/>
      <c r="P392" s="7"/>
      <c r="Q392" s="7"/>
      <c r="R392" s="7"/>
      <c r="S392" s="7"/>
      <c r="T392" s="7"/>
      <c r="U392" s="7"/>
      <c r="V392" s="7"/>
      <c r="W392" s="7"/>
      <c r="X392" s="7"/>
      <c r="Y392" s="7"/>
    </row>
    <row r="393" spans="1:25" ht="15">
      <c r="A393" s="81"/>
      <c r="B393" s="7"/>
      <c r="C393" s="7"/>
      <c r="D393" s="7"/>
      <c r="E393" s="7"/>
      <c r="F393" s="7"/>
      <c r="G393" s="7"/>
      <c r="H393" s="7"/>
      <c r="J393" s="7"/>
      <c r="K393" s="7"/>
      <c r="L393" s="7"/>
      <c r="M393" s="7"/>
      <c r="N393" s="7"/>
      <c r="O393" s="7"/>
      <c r="P393" s="7"/>
      <c r="Q393" s="7"/>
      <c r="R393" s="7"/>
      <c r="S393" s="7"/>
      <c r="T393" s="7"/>
      <c r="U393" s="7"/>
      <c r="V393" s="7"/>
      <c r="W393" s="7"/>
      <c r="X393" s="7"/>
      <c r="Y393" s="7"/>
    </row>
    <row r="394" spans="1:25" ht="15">
      <c r="A394" s="81"/>
      <c r="B394" s="7"/>
      <c r="C394" s="7"/>
      <c r="D394" s="7"/>
      <c r="E394" s="7"/>
      <c r="F394" s="7"/>
      <c r="G394" s="7"/>
      <c r="H394" s="7"/>
      <c r="J394" s="7"/>
      <c r="K394" s="7"/>
      <c r="L394" s="7"/>
      <c r="M394" s="7"/>
      <c r="N394" s="7"/>
      <c r="O394" s="7"/>
      <c r="P394" s="7"/>
      <c r="Q394" s="7"/>
      <c r="R394" s="7"/>
      <c r="S394" s="7"/>
      <c r="T394" s="7"/>
      <c r="U394" s="7"/>
      <c r="V394" s="7"/>
      <c r="W394" s="7"/>
      <c r="X394" s="7"/>
      <c r="Y394" s="7"/>
    </row>
    <row r="395" spans="1:25" ht="15">
      <c r="A395" s="81"/>
      <c r="B395" s="7"/>
      <c r="C395" s="7"/>
      <c r="D395" s="7"/>
      <c r="E395" s="7"/>
      <c r="F395" s="7"/>
      <c r="G395" s="7"/>
      <c r="H395" s="7"/>
      <c r="J395" s="7"/>
      <c r="K395" s="7"/>
      <c r="L395" s="7"/>
      <c r="M395" s="7"/>
      <c r="N395" s="7"/>
      <c r="O395" s="7"/>
      <c r="P395" s="7"/>
      <c r="Q395" s="7"/>
      <c r="R395" s="7"/>
      <c r="S395" s="7"/>
      <c r="T395" s="7"/>
      <c r="U395" s="7"/>
      <c r="V395" s="7"/>
      <c r="W395" s="7"/>
      <c r="X395" s="7"/>
      <c r="Y395" s="7"/>
    </row>
    <row r="396" spans="1:25" ht="15">
      <c r="A396" s="81"/>
      <c r="B396" s="7"/>
      <c r="C396" s="7"/>
      <c r="D396" s="7"/>
      <c r="E396" s="7"/>
      <c r="F396" s="7"/>
      <c r="G396" s="7"/>
      <c r="H396" s="7"/>
      <c r="J396" s="7"/>
      <c r="K396" s="7"/>
      <c r="L396" s="7"/>
      <c r="M396" s="7"/>
      <c r="N396" s="7"/>
      <c r="O396" s="7"/>
      <c r="P396" s="7"/>
      <c r="Q396" s="7"/>
      <c r="R396" s="7"/>
      <c r="S396" s="7"/>
      <c r="T396" s="7"/>
      <c r="U396" s="7"/>
      <c r="V396" s="7"/>
      <c r="W396" s="7"/>
      <c r="X396" s="7"/>
      <c r="Y396" s="7"/>
    </row>
    <row r="397" spans="1:25" ht="15">
      <c r="A397" s="81"/>
      <c r="B397" s="7"/>
      <c r="C397" s="7"/>
      <c r="D397" s="7"/>
      <c r="E397" s="7"/>
      <c r="F397" s="7"/>
      <c r="G397" s="7"/>
      <c r="H397" s="7"/>
      <c r="J397" s="7"/>
      <c r="K397" s="7"/>
      <c r="L397" s="7"/>
      <c r="M397" s="7"/>
      <c r="N397" s="7"/>
      <c r="O397" s="7"/>
      <c r="P397" s="7"/>
      <c r="Q397" s="7"/>
      <c r="R397" s="7"/>
      <c r="S397" s="7"/>
      <c r="T397" s="7"/>
      <c r="U397" s="7"/>
      <c r="V397" s="7"/>
      <c r="W397" s="7"/>
      <c r="X397" s="7"/>
      <c r="Y397" s="7"/>
    </row>
    <row r="398" spans="1:25" ht="15">
      <c r="A398" s="81"/>
      <c r="B398" s="7"/>
      <c r="C398" s="7"/>
      <c r="D398" s="7"/>
      <c r="E398" s="7"/>
      <c r="F398" s="7"/>
      <c r="G398" s="7"/>
      <c r="H398" s="7"/>
      <c r="J398" s="7"/>
      <c r="K398" s="7"/>
      <c r="L398" s="7"/>
      <c r="M398" s="7"/>
      <c r="N398" s="7"/>
      <c r="O398" s="7"/>
      <c r="P398" s="7"/>
      <c r="Q398" s="7"/>
      <c r="R398" s="7"/>
      <c r="S398" s="7"/>
      <c r="T398" s="7"/>
      <c r="U398" s="7"/>
      <c r="V398" s="7"/>
      <c r="W398" s="7"/>
      <c r="X398" s="7"/>
      <c r="Y398" s="7"/>
    </row>
    <row r="399" spans="1:25" ht="15">
      <c r="A399" s="81"/>
      <c r="B399" s="7"/>
      <c r="C399" s="7"/>
      <c r="D399" s="7"/>
      <c r="E399" s="7"/>
      <c r="F399" s="7"/>
      <c r="G399" s="7"/>
      <c r="H399" s="7"/>
      <c r="J399" s="7"/>
      <c r="K399" s="7"/>
      <c r="L399" s="7"/>
      <c r="M399" s="7"/>
      <c r="N399" s="7"/>
      <c r="O399" s="7"/>
      <c r="P399" s="7"/>
      <c r="Q399" s="7"/>
      <c r="R399" s="7"/>
      <c r="S399" s="7"/>
      <c r="T399" s="7"/>
      <c r="U399" s="7"/>
      <c r="V399" s="7"/>
      <c r="W399" s="7"/>
      <c r="X399" s="7"/>
      <c r="Y399" s="7"/>
    </row>
    <row r="400" spans="1:25" ht="15">
      <c r="A400" s="81"/>
      <c r="B400" s="7"/>
      <c r="C400" s="7"/>
      <c r="D400" s="7"/>
      <c r="E400" s="7"/>
      <c r="F400" s="7"/>
      <c r="G400" s="7"/>
      <c r="H400" s="7"/>
      <c r="J400" s="7"/>
      <c r="K400" s="7"/>
      <c r="L400" s="7"/>
      <c r="M400" s="7"/>
      <c r="N400" s="7"/>
      <c r="O400" s="7"/>
      <c r="P400" s="7"/>
      <c r="Q400" s="7"/>
      <c r="R400" s="7"/>
      <c r="S400" s="7"/>
      <c r="T400" s="7"/>
      <c r="U400" s="7"/>
      <c r="V400" s="7"/>
      <c r="W400" s="7"/>
      <c r="X400" s="7"/>
      <c r="Y400" s="7"/>
    </row>
    <row r="401" spans="1:25" ht="15">
      <c r="A401" s="81"/>
      <c r="B401" s="7"/>
      <c r="C401" s="7"/>
      <c r="D401" s="7"/>
      <c r="E401" s="7"/>
      <c r="F401" s="7"/>
      <c r="G401" s="7"/>
      <c r="H401" s="7"/>
      <c r="J401" s="7"/>
      <c r="K401" s="7"/>
      <c r="L401" s="7"/>
      <c r="M401" s="7"/>
      <c r="N401" s="7"/>
      <c r="O401" s="7"/>
      <c r="P401" s="7"/>
      <c r="Q401" s="7"/>
      <c r="R401" s="7"/>
      <c r="S401" s="7"/>
      <c r="T401" s="7"/>
      <c r="U401" s="7"/>
      <c r="V401" s="7"/>
      <c r="W401" s="7"/>
      <c r="X401" s="7"/>
      <c r="Y401" s="7"/>
    </row>
    <row r="402" spans="1:25" ht="15">
      <c r="A402" s="81"/>
      <c r="B402" s="7"/>
      <c r="C402" s="7"/>
      <c r="D402" s="7"/>
      <c r="E402" s="7"/>
      <c r="F402" s="7"/>
      <c r="G402" s="7"/>
      <c r="H402" s="7"/>
      <c r="J402" s="7"/>
      <c r="K402" s="7"/>
      <c r="L402" s="7"/>
      <c r="M402" s="7"/>
      <c r="N402" s="7"/>
      <c r="O402" s="7"/>
      <c r="P402" s="7"/>
      <c r="Q402" s="7"/>
      <c r="R402" s="7"/>
      <c r="S402" s="7"/>
      <c r="T402" s="7"/>
      <c r="U402" s="7"/>
      <c r="V402" s="7"/>
      <c r="W402" s="7"/>
      <c r="X402" s="7"/>
      <c r="Y402" s="7"/>
    </row>
    <row r="403" spans="1:25" ht="15">
      <c r="A403" s="81"/>
      <c r="B403" s="7"/>
      <c r="C403" s="7"/>
      <c r="D403" s="7"/>
      <c r="E403" s="7"/>
      <c r="F403" s="7"/>
      <c r="G403" s="7"/>
      <c r="H403" s="7"/>
      <c r="J403" s="7"/>
      <c r="K403" s="7"/>
      <c r="L403" s="7"/>
      <c r="M403" s="7"/>
      <c r="N403" s="7"/>
      <c r="O403" s="7"/>
      <c r="P403" s="7"/>
      <c r="Q403" s="7"/>
      <c r="R403" s="7"/>
      <c r="S403" s="7"/>
      <c r="T403" s="7"/>
      <c r="U403" s="7"/>
      <c r="V403" s="7"/>
      <c r="W403" s="7"/>
      <c r="X403" s="7"/>
      <c r="Y403" s="7"/>
    </row>
    <row r="404" spans="1:25" ht="15">
      <c r="A404" s="81"/>
      <c r="B404" s="7"/>
      <c r="C404" s="7"/>
      <c r="D404" s="7"/>
      <c r="E404" s="7"/>
      <c r="F404" s="7"/>
      <c r="G404" s="7"/>
      <c r="H404" s="7"/>
      <c r="J404" s="7"/>
      <c r="K404" s="7"/>
      <c r="L404" s="7"/>
      <c r="M404" s="7"/>
      <c r="N404" s="7"/>
      <c r="O404" s="7"/>
      <c r="P404" s="7"/>
      <c r="Q404" s="7"/>
      <c r="R404" s="7"/>
      <c r="S404" s="7"/>
      <c r="T404" s="7"/>
      <c r="U404" s="7"/>
      <c r="V404" s="7"/>
      <c r="W404" s="7"/>
      <c r="X404" s="7"/>
      <c r="Y404" s="7"/>
    </row>
    <row r="405" spans="1:25" ht="15">
      <c r="A405" s="81"/>
      <c r="B405" s="7"/>
      <c r="C405" s="7"/>
      <c r="D405" s="7"/>
      <c r="E405" s="7"/>
      <c r="F405" s="7"/>
      <c r="G405" s="7"/>
      <c r="H405" s="7"/>
      <c r="J405" s="7"/>
      <c r="K405" s="7"/>
      <c r="L405" s="7"/>
      <c r="M405" s="7"/>
      <c r="N405" s="7"/>
      <c r="O405" s="7"/>
      <c r="P405" s="7"/>
      <c r="Q405" s="7"/>
      <c r="R405" s="7"/>
      <c r="S405" s="7"/>
      <c r="T405" s="7"/>
      <c r="U405" s="7"/>
      <c r="V405" s="7"/>
      <c r="W405" s="7"/>
      <c r="X405" s="7"/>
      <c r="Y405" s="7"/>
    </row>
    <row r="406" spans="1:25" ht="15">
      <c r="A406" s="81"/>
      <c r="B406" s="7"/>
      <c r="C406" s="7"/>
      <c r="D406" s="7"/>
      <c r="E406" s="7"/>
      <c r="F406" s="7"/>
      <c r="G406" s="7"/>
      <c r="H406" s="7"/>
      <c r="J406" s="7"/>
      <c r="K406" s="7"/>
      <c r="L406" s="7"/>
      <c r="M406" s="7"/>
      <c r="N406" s="7"/>
      <c r="O406" s="7"/>
      <c r="P406" s="7"/>
      <c r="Q406" s="7"/>
      <c r="R406" s="7"/>
      <c r="S406" s="7"/>
      <c r="T406" s="7"/>
      <c r="U406" s="7"/>
      <c r="V406" s="7"/>
      <c r="W406" s="7"/>
      <c r="X406" s="7"/>
      <c r="Y406" s="7"/>
    </row>
    <row r="407" spans="1:25" ht="15">
      <c r="A407" s="81"/>
      <c r="B407" s="7"/>
      <c r="C407" s="7"/>
      <c r="D407" s="7"/>
      <c r="E407" s="7"/>
      <c r="F407" s="7"/>
      <c r="G407" s="7"/>
      <c r="H407" s="7"/>
      <c r="J407" s="7"/>
      <c r="K407" s="7"/>
      <c r="L407" s="7"/>
      <c r="M407" s="7"/>
      <c r="N407" s="7"/>
      <c r="O407" s="7"/>
      <c r="P407" s="7"/>
      <c r="Q407" s="7"/>
      <c r="R407" s="7"/>
      <c r="S407" s="7"/>
      <c r="T407" s="7"/>
      <c r="U407" s="7"/>
      <c r="V407" s="7"/>
      <c r="W407" s="7"/>
      <c r="X407" s="7"/>
      <c r="Y407" s="7"/>
    </row>
    <row r="408" spans="1:25" ht="15">
      <c r="A408" s="81"/>
      <c r="B408" s="7"/>
      <c r="C408" s="7"/>
      <c r="D408" s="7"/>
      <c r="E408" s="7"/>
      <c r="F408" s="7"/>
      <c r="G408" s="7"/>
      <c r="H408" s="7"/>
      <c r="J408" s="7"/>
      <c r="K408" s="7"/>
      <c r="L408" s="7"/>
      <c r="M408" s="7"/>
      <c r="N408" s="7"/>
      <c r="O408" s="7"/>
      <c r="P408" s="7"/>
      <c r="Q408" s="7"/>
      <c r="R408" s="7"/>
      <c r="S408" s="7"/>
      <c r="T408" s="7"/>
      <c r="U408" s="7"/>
      <c r="V408" s="7"/>
      <c r="W408" s="7"/>
      <c r="X408" s="7"/>
      <c r="Y408" s="7"/>
    </row>
    <row r="409" spans="1:25" ht="15">
      <c r="A409" s="81"/>
      <c r="B409" s="7"/>
      <c r="C409" s="7"/>
      <c r="D409" s="7"/>
      <c r="E409" s="7"/>
      <c r="F409" s="7"/>
      <c r="G409" s="7"/>
      <c r="H409" s="7"/>
      <c r="J409" s="7"/>
      <c r="K409" s="7"/>
      <c r="L409" s="7"/>
      <c r="M409" s="7"/>
      <c r="N409" s="7"/>
      <c r="O409" s="7"/>
      <c r="P409" s="7"/>
      <c r="Q409" s="7"/>
      <c r="R409" s="7"/>
      <c r="S409" s="7"/>
      <c r="T409" s="7"/>
      <c r="U409" s="7"/>
      <c r="V409" s="7"/>
      <c r="W409" s="7"/>
      <c r="X409" s="7"/>
      <c r="Y409" s="7"/>
    </row>
    <row r="410" spans="1:25" ht="15">
      <c r="A410" s="81"/>
      <c r="B410" s="7"/>
      <c r="C410" s="7"/>
      <c r="D410" s="7"/>
      <c r="E410" s="7"/>
      <c r="F410" s="7"/>
      <c r="G410" s="7"/>
      <c r="H410" s="7"/>
      <c r="J410" s="7"/>
      <c r="K410" s="7"/>
      <c r="L410" s="7"/>
      <c r="M410" s="7"/>
      <c r="N410" s="7"/>
      <c r="O410" s="7"/>
      <c r="P410" s="7"/>
      <c r="Q410" s="7"/>
      <c r="R410" s="7"/>
      <c r="S410" s="7"/>
      <c r="T410" s="7"/>
      <c r="U410" s="7"/>
      <c r="V410" s="7"/>
      <c r="W410" s="7"/>
      <c r="X410" s="7"/>
      <c r="Y410" s="7"/>
    </row>
    <row r="411" spans="1:25" ht="15">
      <c r="A411" s="81"/>
      <c r="B411" s="7"/>
      <c r="C411" s="7"/>
      <c r="D411" s="7"/>
      <c r="E411" s="7"/>
      <c r="F411" s="7"/>
      <c r="G411" s="7"/>
      <c r="H411" s="7"/>
      <c r="J411" s="7"/>
      <c r="K411" s="7"/>
      <c r="L411" s="7"/>
      <c r="M411" s="7"/>
      <c r="N411" s="7"/>
      <c r="O411" s="7"/>
      <c r="P411" s="7"/>
      <c r="Q411" s="7"/>
      <c r="R411" s="7"/>
      <c r="S411" s="7"/>
      <c r="T411" s="7"/>
      <c r="U411" s="7"/>
      <c r="V411" s="7"/>
      <c r="W411" s="7"/>
      <c r="X411" s="7"/>
      <c r="Y411" s="7"/>
    </row>
    <row r="412" spans="1:25" ht="15">
      <c r="A412" s="81"/>
      <c r="B412" s="7"/>
      <c r="C412" s="7"/>
      <c r="D412" s="7"/>
      <c r="E412" s="7"/>
      <c r="F412" s="7"/>
      <c r="G412" s="7"/>
      <c r="H412" s="7"/>
      <c r="J412" s="7"/>
      <c r="K412" s="7"/>
      <c r="L412" s="7"/>
      <c r="M412" s="7"/>
      <c r="N412" s="7"/>
      <c r="O412" s="7"/>
      <c r="P412" s="7"/>
      <c r="Q412" s="7"/>
      <c r="R412" s="7"/>
      <c r="S412" s="7"/>
      <c r="T412" s="7"/>
      <c r="U412" s="7"/>
      <c r="V412" s="7"/>
      <c r="W412" s="7"/>
      <c r="X412" s="7"/>
      <c r="Y412" s="7"/>
    </row>
    <row r="413" spans="1:25" ht="15">
      <c r="A413" s="81"/>
      <c r="B413" s="7"/>
      <c r="C413" s="7"/>
      <c r="D413" s="7"/>
      <c r="E413" s="7"/>
      <c r="F413" s="7"/>
      <c r="G413" s="7"/>
      <c r="H413" s="7"/>
      <c r="J413" s="7"/>
      <c r="K413" s="7"/>
      <c r="L413" s="7"/>
      <c r="M413" s="7"/>
      <c r="N413" s="7"/>
      <c r="O413" s="7"/>
      <c r="P413" s="7"/>
      <c r="Q413" s="7"/>
      <c r="R413" s="7"/>
      <c r="S413" s="7"/>
      <c r="T413" s="7"/>
      <c r="U413" s="7"/>
      <c r="V413" s="7"/>
      <c r="W413" s="7"/>
      <c r="X413" s="7"/>
      <c r="Y413" s="7"/>
    </row>
    <row r="414" spans="1:25" ht="15">
      <c r="A414" s="81"/>
      <c r="B414" s="7"/>
      <c r="C414" s="7"/>
      <c r="D414" s="7"/>
      <c r="E414" s="7"/>
      <c r="F414" s="7"/>
      <c r="G414" s="7"/>
      <c r="H414" s="7"/>
      <c r="J414" s="7"/>
      <c r="K414" s="7"/>
      <c r="L414" s="7"/>
      <c r="M414" s="7"/>
      <c r="N414" s="7"/>
      <c r="O414" s="7"/>
      <c r="P414" s="7"/>
      <c r="Q414" s="7"/>
      <c r="R414" s="7"/>
      <c r="S414" s="7"/>
      <c r="T414" s="7"/>
      <c r="U414" s="7"/>
      <c r="V414" s="7"/>
      <c r="W414" s="7"/>
      <c r="X414" s="7"/>
      <c r="Y414" s="7"/>
    </row>
    <row r="415" spans="1:25" ht="15">
      <c r="A415" s="81"/>
      <c r="B415" s="7"/>
      <c r="C415" s="7"/>
      <c r="D415" s="7"/>
      <c r="E415" s="7"/>
      <c r="F415" s="7"/>
      <c r="G415" s="7"/>
      <c r="H415" s="7"/>
      <c r="J415" s="7"/>
      <c r="K415" s="7"/>
      <c r="L415" s="7"/>
      <c r="M415" s="7"/>
      <c r="N415" s="7"/>
      <c r="O415" s="7"/>
      <c r="P415" s="7"/>
      <c r="Q415" s="7"/>
      <c r="R415" s="7"/>
      <c r="S415" s="7"/>
      <c r="T415" s="7"/>
      <c r="U415" s="7"/>
      <c r="V415" s="7"/>
      <c r="W415" s="7"/>
      <c r="X415" s="7"/>
      <c r="Y415" s="7"/>
    </row>
    <row r="416" spans="1:25" ht="15">
      <c r="A416" s="81"/>
      <c r="B416" s="7"/>
      <c r="C416" s="7"/>
      <c r="D416" s="7"/>
      <c r="E416" s="7"/>
      <c r="F416" s="7"/>
      <c r="G416" s="7"/>
      <c r="H416" s="7"/>
      <c r="J416" s="7"/>
      <c r="K416" s="7"/>
      <c r="L416" s="7"/>
      <c r="M416" s="7"/>
      <c r="N416" s="7"/>
      <c r="O416" s="7"/>
      <c r="P416" s="7"/>
      <c r="Q416" s="7"/>
      <c r="R416" s="7"/>
      <c r="S416" s="7"/>
      <c r="T416" s="7"/>
      <c r="U416" s="7"/>
      <c r="V416" s="7"/>
      <c r="W416" s="7"/>
      <c r="X416" s="7"/>
      <c r="Y416" s="7"/>
    </row>
    <row r="417" spans="1:25" ht="15">
      <c r="A417" s="81"/>
      <c r="B417" s="7"/>
      <c r="C417" s="7"/>
      <c r="D417" s="7"/>
      <c r="E417" s="7"/>
      <c r="F417" s="7"/>
      <c r="G417" s="7"/>
      <c r="H417" s="7"/>
      <c r="J417" s="7"/>
      <c r="K417" s="7"/>
      <c r="L417" s="7"/>
      <c r="M417" s="7"/>
      <c r="N417" s="7"/>
      <c r="O417" s="7"/>
      <c r="P417" s="7"/>
      <c r="Q417" s="7"/>
      <c r="R417" s="7"/>
      <c r="S417" s="7"/>
      <c r="T417" s="7"/>
      <c r="U417" s="7"/>
      <c r="V417" s="7"/>
      <c r="W417" s="7"/>
      <c r="X417" s="7"/>
      <c r="Y417" s="7"/>
    </row>
    <row r="418" spans="1:25" ht="15">
      <c r="A418" s="81"/>
      <c r="B418" s="7"/>
      <c r="C418" s="7"/>
      <c r="D418" s="7"/>
      <c r="E418" s="7"/>
      <c r="F418" s="7"/>
      <c r="G418" s="7"/>
      <c r="H418" s="7"/>
      <c r="J418" s="7"/>
      <c r="K418" s="7"/>
      <c r="L418" s="7"/>
      <c r="M418" s="7"/>
      <c r="N418" s="7"/>
      <c r="O418" s="7"/>
      <c r="P418" s="7"/>
      <c r="Q418" s="7"/>
      <c r="R418" s="7"/>
      <c r="S418" s="7"/>
      <c r="T418" s="7"/>
      <c r="U418" s="7"/>
      <c r="V418" s="7"/>
      <c r="W418" s="7"/>
      <c r="X418" s="7"/>
      <c r="Y418" s="7"/>
    </row>
    <row r="419" spans="1:25" ht="15">
      <c r="A419" s="81"/>
      <c r="B419" s="7"/>
      <c r="C419" s="7"/>
      <c r="D419" s="7"/>
      <c r="E419" s="7"/>
      <c r="F419" s="7"/>
      <c r="G419" s="7"/>
      <c r="H419" s="7"/>
      <c r="J419" s="7"/>
      <c r="K419" s="7"/>
      <c r="L419" s="7"/>
      <c r="M419" s="7"/>
      <c r="N419" s="7"/>
      <c r="O419" s="7"/>
      <c r="P419" s="7"/>
      <c r="Q419" s="7"/>
      <c r="R419" s="7"/>
      <c r="S419" s="7"/>
      <c r="T419" s="7"/>
      <c r="U419" s="7"/>
      <c r="V419" s="7"/>
      <c r="W419" s="7"/>
      <c r="X419" s="7"/>
      <c r="Y419" s="7"/>
    </row>
    <row r="420" spans="1:25" ht="15">
      <c r="A420" s="81"/>
      <c r="B420" s="7"/>
      <c r="C420" s="7"/>
      <c r="D420" s="7"/>
      <c r="E420" s="7"/>
      <c r="F420" s="7"/>
      <c r="G420" s="7"/>
      <c r="H420" s="7"/>
      <c r="J420" s="7"/>
      <c r="K420" s="7"/>
      <c r="L420" s="7"/>
      <c r="M420" s="7"/>
      <c r="N420" s="7"/>
      <c r="O420" s="7"/>
      <c r="P420" s="7"/>
      <c r="Q420" s="7"/>
      <c r="R420" s="7"/>
      <c r="S420" s="7"/>
      <c r="T420" s="7"/>
      <c r="U420" s="7"/>
      <c r="V420" s="7"/>
      <c r="W420" s="7"/>
      <c r="X420" s="7"/>
      <c r="Y420" s="7"/>
    </row>
    <row r="421" spans="1:25" ht="15">
      <c r="A421" s="81"/>
      <c r="B421" s="7"/>
      <c r="C421" s="7"/>
      <c r="D421" s="7"/>
      <c r="E421" s="7"/>
      <c r="F421" s="7"/>
      <c r="G421" s="7"/>
      <c r="H421" s="7"/>
      <c r="J421" s="7"/>
      <c r="K421" s="7"/>
      <c r="L421" s="7"/>
      <c r="M421" s="7"/>
      <c r="N421" s="7"/>
      <c r="O421" s="7"/>
      <c r="P421" s="7"/>
      <c r="Q421" s="7"/>
      <c r="R421" s="7"/>
      <c r="S421" s="7"/>
      <c r="T421" s="7"/>
      <c r="U421" s="7"/>
      <c r="V421" s="7"/>
      <c r="W421" s="7"/>
      <c r="X421" s="7"/>
      <c r="Y421" s="7"/>
    </row>
    <row r="422" spans="1:25" ht="15">
      <c r="A422" s="81"/>
      <c r="B422" s="7"/>
      <c r="C422" s="7"/>
      <c r="D422" s="7"/>
      <c r="E422" s="7"/>
      <c r="F422" s="7"/>
      <c r="G422" s="7"/>
      <c r="H422" s="7"/>
      <c r="J422" s="7"/>
      <c r="K422" s="7"/>
      <c r="L422" s="7"/>
      <c r="M422" s="7"/>
      <c r="N422" s="7"/>
      <c r="O422" s="7"/>
      <c r="P422" s="7"/>
      <c r="Q422" s="7"/>
      <c r="R422" s="7"/>
      <c r="S422" s="7"/>
      <c r="T422" s="7"/>
      <c r="U422" s="7"/>
      <c r="V422" s="7"/>
      <c r="W422" s="7"/>
      <c r="X422" s="7"/>
      <c r="Y422" s="7"/>
    </row>
    <row r="423" spans="1:25" ht="15">
      <c r="A423" s="81"/>
      <c r="B423" s="7"/>
      <c r="C423" s="7"/>
      <c r="D423" s="7"/>
      <c r="E423" s="7"/>
      <c r="F423" s="7"/>
      <c r="G423" s="7"/>
      <c r="H423" s="7"/>
      <c r="J423" s="7"/>
      <c r="K423" s="7"/>
      <c r="L423" s="7"/>
      <c r="M423" s="7"/>
      <c r="N423" s="7"/>
      <c r="O423" s="7"/>
      <c r="P423" s="7"/>
      <c r="Q423" s="7"/>
      <c r="R423" s="7"/>
      <c r="S423" s="7"/>
      <c r="T423" s="7"/>
      <c r="U423" s="7"/>
      <c r="V423" s="7"/>
      <c r="W423" s="7"/>
      <c r="X423" s="7"/>
      <c r="Y423" s="7"/>
    </row>
    <row r="424" spans="1:25" ht="15">
      <c r="A424" s="81"/>
      <c r="B424" s="7"/>
      <c r="C424" s="7"/>
      <c r="D424" s="7"/>
      <c r="E424" s="7"/>
      <c r="F424" s="7"/>
      <c r="G424" s="7"/>
      <c r="H424" s="7"/>
      <c r="J424" s="7"/>
      <c r="K424" s="7"/>
      <c r="L424" s="7"/>
      <c r="M424" s="7"/>
      <c r="N424" s="7"/>
      <c r="O424" s="7"/>
      <c r="P424" s="7"/>
      <c r="Q424" s="7"/>
      <c r="R424" s="7"/>
      <c r="S424" s="7"/>
      <c r="T424" s="7"/>
      <c r="U424" s="7"/>
      <c r="V424" s="7"/>
      <c r="W424" s="7"/>
      <c r="X424" s="7"/>
      <c r="Y424" s="7"/>
    </row>
    <row r="425" spans="1:25" ht="15">
      <c r="A425" s="81"/>
      <c r="B425" s="7"/>
      <c r="C425" s="7"/>
      <c r="D425" s="7"/>
      <c r="E425" s="7"/>
      <c r="F425" s="7"/>
      <c r="G425" s="7"/>
      <c r="H425" s="7"/>
      <c r="J425" s="7"/>
      <c r="K425" s="7"/>
      <c r="L425" s="7"/>
      <c r="M425" s="7"/>
      <c r="N425" s="7"/>
      <c r="O425" s="7"/>
      <c r="P425" s="7"/>
      <c r="Q425" s="7"/>
      <c r="R425" s="7"/>
      <c r="S425" s="7"/>
      <c r="T425" s="7"/>
      <c r="U425" s="7"/>
      <c r="V425" s="7"/>
      <c r="W425" s="7"/>
      <c r="X425" s="7"/>
      <c r="Y425" s="7"/>
    </row>
    <row r="426" spans="1:25" ht="15">
      <c r="A426" s="81"/>
      <c r="B426" s="7"/>
      <c r="C426" s="7"/>
      <c r="D426" s="7"/>
      <c r="E426" s="7"/>
      <c r="F426" s="7"/>
      <c r="G426" s="7"/>
      <c r="H426" s="7"/>
      <c r="J426" s="7"/>
      <c r="K426" s="7"/>
      <c r="L426" s="7"/>
      <c r="M426" s="7"/>
      <c r="N426" s="7"/>
      <c r="O426" s="7"/>
      <c r="P426" s="7"/>
      <c r="Q426" s="7"/>
      <c r="R426" s="7"/>
      <c r="S426" s="7"/>
      <c r="T426" s="7"/>
      <c r="U426" s="7"/>
      <c r="V426" s="7"/>
      <c r="W426" s="7"/>
      <c r="X426" s="7"/>
      <c r="Y426" s="7"/>
    </row>
    <row r="427" spans="1:25" ht="15">
      <c r="A427" s="81"/>
      <c r="B427" s="7"/>
      <c r="C427" s="7"/>
      <c r="D427" s="7"/>
      <c r="E427" s="7"/>
      <c r="F427" s="7"/>
      <c r="G427" s="7"/>
      <c r="H427" s="7"/>
      <c r="J427" s="7"/>
      <c r="K427" s="7"/>
      <c r="L427" s="7"/>
      <c r="M427" s="7"/>
      <c r="N427" s="7"/>
      <c r="O427" s="7"/>
      <c r="P427" s="7"/>
      <c r="Q427" s="7"/>
      <c r="R427" s="7"/>
      <c r="S427" s="7"/>
      <c r="T427" s="7"/>
      <c r="U427" s="7"/>
      <c r="V427" s="7"/>
      <c r="W427" s="7"/>
      <c r="X427" s="7"/>
      <c r="Y427" s="7"/>
    </row>
    <row r="428" spans="1:25" ht="15">
      <c r="A428" s="81"/>
      <c r="B428" s="7"/>
      <c r="C428" s="7"/>
      <c r="D428" s="7"/>
      <c r="E428" s="7"/>
      <c r="F428" s="7"/>
      <c r="G428" s="7"/>
      <c r="H428" s="7"/>
      <c r="J428" s="7"/>
      <c r="K428" s="7"/>
      <c r="L428" s="7"/>
      <c r="M428" s="7"/>
      <c r="N428" s="7"/>
      <c r="O428" s="7"/>
      <c r="P428" s="7"/>
      <c r="Q428" s="7"/>
      <c r="R428" s="7"/>
      <c r="S428" s="7"/>
      <c r="T428" s="7"/>
      <c r="U428" s="7"/>
      <c r="V428" s="7"/>
      <c r="W428" s="7"/>
      <c r="X428" s="7"/>
      <c r="Y428" s="7"/>
    </row>
    <row r="429" spans="1:25" ht="15">
      <c r="A429" s="81"/>
      <c r="B429" s="7"/>
      <c r="C429" s="7"/>
      <c r="D429" s="7"/>
      <c r="E429" s="7"/>
      <c r="F429" s="7"/>
      <c r="G429" s="7"/>
      <c r="H429" s="7"/>
      <c r="J429" s="7"/>
      <c r="K429" s="7"/>
      <c r="L429" s="7"/>
      <c r="M429" s="7"/>
      <c r="N429" s="7"/>
      <c r="O429" s="7"/>
      <c r="P429" s="7"/>
      <c r="Q429" s="7"/>
      <c r="R429" s="7"/>
      <c r="S429" s="7"/>
      <c r="T429" s="7"/>
      <c r="U429" s="7"/>
      <c r="V429" s="7"/>
      <c r="W429" s="7"/>
      <c r="X429" s="7"/>
      <c r="Y429" s="7"/>
    </row>
    <row r="430" spans="1:25" ht="15">
      <c r="A430" s="81"/>
      <c r="B430" s="7"/>
      <c r="C430" s="7"/>
      <c r="D430" s="7"/>
      <c r="E430" s="7"/>
      <c r="F430" s="7"/>
      <c r="G430" s="7"/>
      <c r="H430" s="7"/>
      <c r="J430" s="7"/>
      <c r="K430" s="7"/>
      <c r="L430" s="7"/>
      <c r="M430" s="7"/>
      <c r="N430" s="7"/>
      <c r="O430" s="7"/>
      <c r="P430" s="7"/>
      <c r="Q430" s="7"/>
      <c r="R430" s="7"/>
      <c r="S430" s="7"/>
      <c r="T430" s="7"/>
      <c r="U430" s="7"/>
      <c r="V430" s="7"/>
      <c r="W430" s="7"/>
      <c r="X430" s="7"/>
      <c r="Y430" s="7"/>
    </row>
    <row r="431" spans="1:25" ht="15">
      <c r="A431" s="81"/>
      <c r="B431" s="7"/>
      <c r="C431" s="7"/>
      <c r="D431" s="7"/>
      <c r="E431" s="7"/>
      <c r="F431" s="7"/>
      <c r="G431" s="7"/>
      <c r="H431" s="7"/>
      <c r="J431" s="7"/>
      <c r="K431" s="7"/>
      <c r="L431" s="7"/>
      <c r="M431" s="7"/>
      <c r="N431" s="7"/>
      <c r="O431" s="7"/>
      <c r="P431" s="7"/>
      <c r="Q431" s="7"/>
      <c r="R431" s="7"/>
      <c r="S431" s="7"/>
      <c r="T431" s="7"/>
      <c r="U431" s="7"/>
      <c r="V431" s="7"/>
      <c r="W431" s="7"/>
      <c r="X431" s="7"/>
      <c r="Y431" s="7"/>
    </row>
    <row r="432" spans="1:25" ht="15">
      <c r="A432" s="81"/>
      <c r="B432" s="7"/>
      <c r="C432" s="7"/>
      <c r="D432" s="7"/>
      <c r="E432" s="7"/>
      <c r="F432" s="7"/>
      <c r="G432" s="7"/>
      <c r="H432" s="7"/>
      <c r="J432" s="7"/>
      <c r="K432" s="7"/>
      <c r="L432" s="7"/>
      <c r="M432" s="7"/>
      <c r="N432" s="7"/>
      <c r="O432" s="7"/>
      <c r="P432" s="7"/>
      <c r="Q432" s="7"/>
      <c r="R432" s="7"/>
      <c r="S432" s="7"/>
      <c r="T432" s="7"/>
      <c r="U432" s="7"/>
      <c r="V432" s="7"/>
      <c r="W432" s="7"/>
      <c r="X432" s="7"/>
      <c r="Y432" s="7"/>
    </row>
    <row r="433" spans="1:25" ht="15">
      <c r="A433" s="81"/>
      <c r="B433" s="7"/>
      <c r="C433" s="7"/>
      <c r="D433" s="7"/>
      <c r="E433" s="7"/>
      <c r="F433" s="7"/>
      <c r="G433" s="7"/>
      <c r="H433" s="7"/>
      <c r="J433" s="7"/>
      <c r="K433" s="7"/>
      <c r="L433" s="7"/>
      <c r="M433" s="7"/>
      <c r="N433" s="7"/>
      <c r="O433" s="7"/>
      <c r="P433" s="7"/>
      <c r="Q433" s="7"/>
      <c r="R433" s="7"/>
      <c r="S433" s="7"/>
      <c r="T433" s="7"/>
      <c r="U433" s="7"/>
      <c r="V433" s="7"/>
      <c r="W433" s="7"/>
      <c r="X433" s="7"/>
      <c r="Y433" s="7"/>
    </row>
    <row r="434" spans="1:25" ht="15">
      <c r="A434" s="81"/>
      <c r="B434" s="7"/>
      <c r="C434" s="7"/>
      <c r="D434" s="7"/>
      <c r="E434" s="7"/>
      <c r="F434" s="7"/>
      <c r="G434" s="7"/>
      <c r="H434" s="7"/>
      <c r="J434" s="7"/>
      <c r="K434" s="7"/>
      <c r="L434" s="7"/>
      <c r="M434" s="7"/>
      <c r="N434" s="7"/>
      <c r="O434" s="7"/>
      <c r="P434" s="7"/>
      <c r="Q434" s="7"/>
      <c r="R434" s="7"/>
      <c r="S434" s="7"/>
      <c r="T434" s="7"/>
      <c r="U434" s="7"/>
      <c r="V434" s="7"/>
      <c r="W434" s="7"/>
      <c r="X434" s="7"/>
      <c r="Y434" s="7"/>
    </row>
    <row r="435" spans="1:25" ht="15">
      <c r="A435" s="81"/>
      <c r="B435" s="7"/>
      <c r="C435" s="7"/>
      <c r="D435" s="7"/>
      <c r="E435" s="7"/>
      <c r="F435" s="7"/>
      <c r="G435" s="7"/>
      <c r="H435" s="7"/>
      <c r="J435" s="7"/>
      <c r="K435" s="7"/>
      <c r="L435" s="7"/>
      <c r="M435" s="7"/>
      <c r="N435" s="7"/>
      <c r="O435" s="7"/>
      <c r="P435" s="7"/>
      <c r="Q435" s="7"/>
      <c r="R435" s="7"/>
      <c r="S435" s="7"/>
      <c r="T435" s="7"/>
      <c r="U435" s="7"/>
      <c r="V435" s="7"/>
      <c r="W435" s="7"/>
      <c r="X435" s="7"/>
      <c r="Y435" s="7"/>
    </row>
    <row r="436" spans="1:25" ht="15">
      <c r="A436" s="81"/>
      <c r="B436" s="7"/>
      <c r="C436" s="7"/>
      <c r="D436" s="7"/>
      <c r="E436" s="7"/>
      <c r="F436" s="7"/>
      <c r="G436" s="7"/>
      <c r="H436" s="7"/>
      <c r="J436" s="7"/>
      <c r="K436" s="7"/>
      <c r="L436" s="7"/>
      <c r="M436" s="7"/>
      <c r="N436" s="7"/>
      <c r="O436" s="7"/>
      <c r="P436" s="7"/>
      <c r="Q436" s="7"/>
      <c r="R436" s="7"/>
      <c r="S436" s="7"/>
      <c r="T436" s="7"/>
      <c r="U436" s="7"/>
      <c r="V436" s="7"/>
      <c r="W436" s="7"/>
      <c r="X436" s="7"/>
      <c r="Y436" s="7"/>
    </row>
    <row r="437" spans="1:25" ht="15">
      <c r="A437" s="81"/>
      <c r="B437" s="7"/>
      <c r="C437" s="7"/>
      <c r="D437" s="7"/>
      <c r="E437" s="7"/>
      <c r="F437" s="7"/>
      <c r="G437" s="7"/>
      <c r="H437" s="7"/>
      <c r="J437" s="7"/>
      <c r="K437" s="7"/>
      <c r="L437" s="7"/>
      <c r="M437" s="7"/>
      <c r="N437" s="7"/>
      <c r="O437" s="7"/>
      <c r="P437" s="7"/>
      <c r="Q437" s="7"/>
      <c r="R437" s="7"/>
      <c r="S437" s="7"/>
      <c r="T437" s="7"/>
      <c r="U437" s="7"/>
      <c r="V437" s="7"/>
      <c r="W437" s="7"/>
      <c r="X437" s="7"/>
      <c r="Y437" s="7"/>
    </row>
    <row r="438" spans="1:25" ht="15">
      <c r="A438" s="81"/>
      <c r="B438" s="7"/>
      <c r="C438" s="7"/>
      <c r="D438" s="7"/>
      <c r="E438" s="7"/>
      <c r="F438" s="7"/>
      <c r="G438" s="7"/>
      <c r="H438" s="7"/>
      <c r="J438" s="7"/>
      <c r="K438" s="7"/>
      <c r="L438" s="7"/>
      <c r="M438" s="7"/>
      <c r="N438" s="7"/>
      <c r="O438" s="7"/>
      <c r="P438" s="7"/>
      <c r="Q438" s="7"/>
      <c r="R438" s="7"/>
      <c r="S438" s="7"/>
      <c r="T438" s="7"/>
      <c r="U438" s="7"/>
      <c r="V438" s="7"/>
      <c r="W438" s="7"/>
      <c r="X438" s="7"/>
      <c r="Y438" s="7"/>
    </row>
    <row r="439" spans="1:25" ht="15">
      <c r="A439" s="81"/>
      <c r="B439" s="7"/>
      <c r="C439" s="7"/>
      <c r="D439" s="7"/>
      <c r="E439" s="7"/>
      <c r="F439" s="7"/>
      <c r="G439" s="7"/>
      <c r="H439" s="7"/>
      <c r="J439" s="7"/>
      <c r="K439" s="7"/>
      <c r="L439" s="7"/>
      <c r="M439" s="7"/>
      <c r="N439" s="7"/>
      <c r="O439" s="7"/>
      <c r="P439" s="7"/>
      <c r="Q439" s="7"/>
      <c r="R439" s="7"/>
      <c r="S439" s="7"/>
      <c r="T439" s="7"/>
      <c r="U439" s="7"/>
      <c r="V439" s="7"/>
      <c r="W439" s="7"/>
      <c r="X439" s="7"/>
      <c r="Y439" s="7"/>
    </row>
    <row r="440" spans="1:25" ht="15">
      <c r="A440" s="81"/>
      <c r="B440" s="7"/>
      <c r="C440" s="7"/>
      <c r="D440" s="7"/>
      <c r="E440" s="7"/>
      <c r="F440" s="7"/>
      <c r="G440" s="7"/>
      <c r="H440" s="7"/>
      <c r="J440" s="7"/>
      <c r="K440" s="7"/>
      <c r="L440" s="7"/>
      <c r="M440" s="7"/>
      <c r="N440" s="7"/>
      <c r="O440" s="7"/>
      <c r="P440" s="7"/>
      <c r="Q440" s="7"/>
      <c r="R440" s="7"/>
      <c r="S440" s="7"/>
      <c r="T440" s="7"/>
      <c r="U440" s="7"/>
      <c r="V440" s="7"/>
      <c r="W440" s="7"/>
      <c r="X440" s="7"/>
      <c r="Y440" s="7"/>
    </row>
    <row r="441" spans="1:25" ht="15">
      <c r="A441" s="81"/>
      <c r="B441" s="7"/>
      <c r="C441" s="7"/>
      <c r="D441" s="7"/>
      <c r="E441" s="7"/>
      <c r="F441" s="7"/>
      <c r="G441" s="7"/>
      <c r="H441" s="7"/>
      <c r="J441" s="7"/>
      <c r="K441" s="7"/>
      <c r="L441" s="7"/>
      <c r="M441" s="7"/>
      <c r="N441" s="7"/>
      <c r="O441" s="7"/>
      <c r="P441" s="7"/>
      <c r="Q441" s="7"/>
      <c r="R441" s="7"/>
      <c r="S441" s="7"/>
      <c r="T441" s="7"/>
      <c r="U441" s="7"/>
      <c r="V441" s="7"/>
      <c r="W441" s="7"/>
      <c r="X441" s="7"/>
      <c r="Y441" s="7"/>
    </row>
    <row r="442" spans="1:25" ht="15">
      <c r="A442" s="81"/>
      <c r="B442" s="7"/>
      <c r="C442" s="7"/>
      <c r="D442" s="7"/>
      <c r="E442" s="7"/>
      <c r="F442" s="7"/>
      <c r="G442" s="7"/>
      <c r="H442" s="7"/>
      <c r="J442" s="7"/>
      <c r="K442" s="7"/>
      <c r="L442" s="7"/>
      <c r="M442" s="7"/>
      <c r="N442" s="7"/>
      <c r="O442" s="7"/>
      <c r="P442" s="7"/>
      <c r="Q442" s="7"/>
      <c r="R442" s="7"/>
      <c r="S442" s="7"/>
      <c r="T442" s="7"/>
      <c r="U442" s="7"/>
      <c r="V442" s="7"/>
      <c r="W442" s="7"/>
      <c r="X442" s="7"/>
      <c r="Y442" s="7"/>
    </row>
    <row r="443" spans="1:25" ht="15">
      <c r="A443" s="81"/>
      <c r="B443" s="7"/>
      <c r="C443" s="7"/>
      <c r="D443" s="7"/>
      <c r="E443" s="7"/>
      <c r="F443" s="7"/>
      <c r="G443" s="7"/>
      <c r="H443" s="7"/>
      <c r="J443" s="7"/>
      <c r="K443" s="7"/>
      <c r="L443" s="7"/>
      <c r="M443" s="7"/>
      <c r="N443" s="7"/>
      <c r="O443" s="7"/>
      <c r="P443" s="7"/>
      <c r="Q443" s="7"/>
      <c r="R443" s="7"/>
      <c r="S443" s="7"/>
      <c r="T443" s="7"/>
      <c r="U443" s="7"/>
      <c r="V443" s="7"/>
      <c r="W443" s="7"/>
      <c r="X443" s="7"/>
      <c r="Y443" s="7"/>
    </row>
    <row r="444" spans="1:25" ht="15">
      <c r="A444" s="81"/>
      <c r="B444" s="7"/>
      <c r="C444" s="7"/>
      <c r="D444" s="7"/>
      <c r="E444" s="7"/>
      <c r="F444" s="7"/>
      <c r="G444" s="7"/>
      <c r="H444" s="7"/>
      <c r="J444" s="7"/>
      <c r="K444" s="7"/>
      <c r="L444" s="7"/>
      <c r="M444" s="7"/>
      <c r="N444" s="7"/>
      <c r="O444" s="7"/>
      <c r="P444" s="7"/>
      <c r="Q444" s="7"/>
      <c r="R444" s="7"/>
      <c r="S444" s="7"/>
      <c r="T444" s="7"/>
      <c r="U444" s="7"/>
      <c r="V444" s="7"/>
      <c r="W444" s="7"/>
      <c r="X444" s="7"/>
      <c r="Y444" s="7"/>
    </row>
    <row r="445" spans="1:25" ht="15">
      <c r="A445" s="81"/>
      <c r="B445" s="7"/>
      <c r="C445" s="7"/>
      <c r="D445" s="7"/>
      <c r="E445" s="7"/>
      <c r="F445" s="7"/>
      <c r="G445" s="7"/>
      <c r="H445" s="7"/>
      <c r="J445" s="7"/>
      <c r="K445" s="7"/>
      <c r="L445" s="7"/>
      <c r="M445" s="7"/>
      <c r="N445" s="7"/>
      <c r="O445" s="7"/>
      <c r="P445" s="7"/>
      <c r="Q445" s="7"/>
      <c r="R445" s="7"/>
      <c r="S445" s="7"/>
      <c r="T445" s="7"/>
      <c r="U445" s="7"/>
      <c r="V445" s="7"/>
      <c r="W445" s="7"/>
      <c r="X445" s="7"/>
      <c r="Y445" s="7"/>
    </row>
    <row r="446" spans="1:25" ht="15">
      <c r="A446" s="81"/>
      <c r="B446" s="7"/>
      <c r="C446" s="7"/>
      <c r="D446" s="7"/>
      <c r="E446" s="7"/>
      <c r="F446" s="7"/>
      <c r="G446" s="7"/>
      <c r="H446" s="7"/>
      <c r="J446" s="7"/>
      <c r="K446" s="7"/>
      <c r="L446" s="7"/>
      <c r="M446" s="7"/>
      <c r="N446" s="7"/>
      <c r="O446" s="7"/>
      <c r="P446" s="7"/>
      <c r="Q446" s="7"/>
      <c r="R446" s="7"/>
      <c r="S446" s="7"/>
      <c r="T446" s="7"/>
      <c r="U446" s="7"/>
      <c r="V446" s="7"/>
      <c r="W446" s="7"/>
      <c r="X446" s="7"/>
      <c r="Y446" s="7"/>
    </row>
    <row r="447" spans="1:25" ht="15">
      <c r="A447" s="81"/>
      <c r="B447" s="7"/>
      <c r="C447" s="7"/>
      <c r="D447" s="7"/>
      <c r="E447" s="7"/>
      <c r="F447" s="7"/>
      <c r="G447" s="7"/>
      <c r="H447" s="7"/>
      <c r="J447" s="7"/>
      <c r="K447" s="7"/>
      <c r="L447" s="7"/>
      <c r="M447" s="7"/>
      <c r="N447" s="7"/>
      <c r="O447" s="7"/>
      <c r="P447" s="7"/>
      <c r="Q447" s="7"/>
      <c r="R447" s="7"/>
      <c r="S447" s="7"/>
      <c r="T447" s="7"/>
      <c r="U447" s="7"/>
      <c r="V447" s="7"/>
      <c r="W447" s="7"/>
      <c r="X447" s="7"/>
      <c r="Y447" s="7"/>
    </row>
    <row r="448" spans="1:25" ht="15">
      <c r="A448" s="81"/>
      <c r="B448" s="7"/>
      <c r="C448" s="7"/>
      <c r="D448" s="7"/>
      <c r="E448" s="7"/>
      <c r="F448" s="7"/>
      <c r="G448" s="7"/>
      <c r="H448" s="7"/>
      <c r="J448" s="7"/>
      <c r="K448" s="7"/>
      <c r="L448" s="7"/>
      <c r="M448" s="7"/>
      <c r="N448" s="7"/>
      <c r="O448" s="7"/>
      <c r="P448" s="7"/>
      <c r="Q448" s="7"/>
      <c r="R448" s="7"/>
      <c r="S448" s="7"/>
      <c r="T448" s="7"/>
      <c r="U448" s="7"/>
      <c r="V448" s="7"/>
      <c r="W448" s="7"/>
      <c r="X448" s="7"/>
      <c r="Y448" s="7"/>
    </row>
    <row r="449" spans="1:25" ht="15">
      <c r="A449" s="81"/>
      <c r="B449" s="7"/>
      <c r="C449" s="7"/>
      <c r="D449" s="7"/>
      <c r="E449" s="7"/>
      <c r="F449" s="7"/>
      <c r="G449" s="7"/>
      <c r="H449" s="7"/>
      <c r="J449" s="7"/>
      <c r="K449" s="7"/>
      <c r="L449" s="7"/>
      <c r="M449" s="7"/>
      <c r="N449" s="7"/>
      <c r="O449" s="7"/>
      <c r="P449" s="7"/>
      <c r="Q449" s="7"/>
      <c r="R449" s="7"/>
      <c r="S449" s="7"/>
      <c r="T449" s="7"/>
      <c r="U449" s="7"/>
      <c r="V449" s="7"/>
      <c r="W449" s="7"/>
      <c r="X449" s="7"/>
      <c r="Y449" s="7"/>
    </row>
    <row r="450" spans="1:25" ht="15">
      <c r="A450" s="81"/>
      <c r="B450" s="7"/>
      <c r="C450" s="7"/>
      <c r="D450" s="7"/>
      <c r="E450" s="7"/>
      <c r="F450" s="7"/>
      <c r="G450" s="7"/>
      <c r="H450" s="7"/>
      <c r="J450" s="7"/>
      <c r="K450" s="7"/>
      <c r="L450" s="7"/>
      <c r="M450" s="7"/>
      <c r="N450" s="7"/>
      <c r="O450" s="7"/>
      <c r="P450" s="7"/>
      <c r="Q450" s="7"/>
      <c r="R450" s="7"/>
      <c r="S450" s="7"/>
      <c r="T450" s="7"/>
      <c r="U450" s="7"/>
      <c r="V450" s="7"/>
      <c r="W450" s="7"/>
      <c r="X450" s="7"/>
      <c r="Y450" s="7"/>
    </row>
    <row r="451" spans="1:25" ht="15">
      <c r="A451" s="81"/>
      <c r="B451" s="7"/>
      <c r="C451" s="7"/>
      <c r="D451" s="7"/>
      <c r="E451" s="7"/>
      <c r="F451" s="7"/>
      <c r="G451" s="7"/>
      <c r="H451" s="7"/>
      <c r="J451" s="7"/>
      <c r="K451" s="7"/>
      <c r="L451" s="7"/>
      <c r="M451" s="7"/>
      <c r="N451" s="7"/>
      <c r="O451" s="7"/>
      <c r="P451" s="7"/>
      <c r="Q451" s="7"/>
      <c r="R451" s="7"/>
      <c r="S451" s="7"/>
      <c r="T451" s="7"/>
      <c r="U451" s="7"/>
      <c r="V451" s="7"/>
      <c r="W451" s="7"/>
      <c r="X451" s="7"/>
      <c r="Y451" s="7"/>
    </row>
    <row r="452" spans="1:25" ht="15">
      <c r="A452" s="81"/>
      <c r="B452" s="7"/>
      <c r="C452" s="7"/>
      <c r="D452" s="7"/>
      <c r="E452" s="7"/>
      <c r="F452" s="7"/>
      <c r="G452" s="7"/>
      <c r="H452" s="7"/>
      <c r="J452" s="7"/>
      <c r="K452" s="7"/>
      <c r="L452" s="7"/>
      <c r="M452" s="7"/>
      <c r="N452" s="7"/>
      <c r="O452" s="7"/>
      <c r="P452" s="7"/>
      <c r="Q452" s="7"/>
      <c r="R452" s="7"/>
      <c r="S452" s="7"/>
      <c r="T452" s="7"/>
      <c r="U452" s="7"/>
      <c r="V452" s="7"/>
      <c r="W452" s="7"/>
      <c r="X452" s="7"/>
      <c r="Y452" s="7"/>
    </row>
    <row r="453" spans="1:25" ht="15">
      <c r="A453" s="81"/>
      <c r="B453" s="7"/>
      <c r="C453" s="7"/>
      <c r="D453" s="7"/>
      <c r="E453" s="7"/>
      <c r="F453" s="7"/>
      <c r="G453" s="7"/>
      <c r="H453" s="7"/>
      <c r="J453" s="7"/>
      <c r="K453" s="7"/>
      <c r="L453" s="7"/>
      <c r="M453" s="7"/>
      <c r="N453" s="7"/>
      <c r="O453" s="7"/>
      <c r="P453" s="7"/>
      <c r="Q453" s="7"/>
      <c r="R453" s="7"/>
      <c r="S453" s="7"/>
      <c r="T453" s="7"/>
      <c r="U453" s="7"/>
      <c r="V453" s="7"/>
      <c r="W453" s="7"/>
      <c r="X453" s="7"/>
      <c r="Y453" s="7"/>
    </row>
    <row r="454" spans="1:25" ht="15">
      <c r="A454" s="81"/>
      <c r="B454" s="7"/>
      <c r="C454" s="7"/>
      <c r="D454" s="7"/>
      <c r="E454" s="7"/>
      <c r="F454" s="7"/>
      <c r="G454" s="7"/>
      <c r="H454" s="7"/>
      <c r="J454" s="7"/>
      <c r="K454" s="7"/>
      <c r="L454" s="7"/>
      <c r="M454" s="7"/>
      <c r="N454" s="7"/>
      <c r="O454" s="7"/>
      <c r="P454" s="7"/>
      <c r="Q454" s="7"/>
      <c r="R454" s="7"/>
      <c r="S454" s="7"/>
      <c r="T454" s="7"/>
      <c r="U454" s="7"/>
      <c r="V454" s="7"/>
      <c r="W454" s="7"/>
      <c r="X454" s="7"/>
      <c r="Y454" s="7"/>
    </row>
    <row r="455" spans="1:25" ht="15">
      <c r="A455" s="81"/>
      <c r="B455" s="7"/>
      <c r="C455" s="7"/>
      <c r="D455" s="7"/>
      <c r="E455" s="7"/>
      <c r="F455" s="7"/>
      <c r="G455" s="7"/>
      <c r="H455" s="7"/>
      <c r="J455" s="7"/>
      <c r="K455" s="7"/>
      <c r="L455" s="7"/>
      <c r="M455" s="7"/>
      <c r="N455" s="7"/>
      <c r="O455" s="7"/>
      <c r="P455" s="7"/>
      <c r="Q455" s="7"/>
      <c r="R455" s="7"/>
      <c r="S455" s="7"/>
      <c r="T455" s="7"/>
      <c r="U455" s="7"/>
      <c r="V455" s="7"/>
      <c r="W455" s="7"/>
      <c r="X455" s="7"/>
      <c r="Y455" s="7"/>
    </row>
    <row r="456" spans="1:25" ht="15">
      <c r="A456" s="81"/>
      <c r="B456" s="7"/>
      <c r="C456" s="7"/>
      <c r="D456" s="7"/>
      <c r="E456" s="7"/>
      <c r="F456" s="7"/>
      <c r="G456" s="7"/>
      <c r="H456" s="7"/>
      <c r="J456" s="7"/>
      <c r="K456" s="7"/>
      <c r="L456" s="7"/>
      <c r="M456" s="7"/>
      <c r="N456" s="7"/>
      <c r="O456" s="7"/>
      <c r="P456" s="7"/>
      <c r="Q456" s="7"/>
      <c r="R456" s="7"/>
      <c r="S456" s="7"/>
      <c r="T456" s="7"/>
      <c r="U456" s="7"/>
      <c r="V456" s="7"/>
      <c r="W456" s="7"/>
      <c r="X456" s="7"/>
      <c r="Y456" s="7"/>
    </row>
    <row r="457" spans="1:25" ht="15">
      <c r="A457" s="81"/>
      <c r="B457" s="7"/>
      <c r="C457" s="7"/>
      <c r="D457" s="7"/>
      <c r="E457" s="7"/>
      <c r="F457" s="7"/>
      <c r="G457" s="7"/>
      <c r="H457" s="7"/>
      <c r="J457" s="7"/>
      <c r="K457" s="7"/>
      <c r="L457" s="7"/>
      <c r="M457" s="7"/>
      <c r="N457" s="7"/>
      <c r="O457" s="7"/>
      <c r="P457" s="7"/>
      <c r="Q457" s="7"/>
      <c r="R457" s="7"/>
      <c r="S457" s="7"/>
      <c r="T457" s="7"/>
      <c r="U457" s="7"/>
      <c r="V457" s="7"/>
      <c r="W457" s="7"/>
      <c r="X457" s="7"/>
      <c r="Y457" s="7"/>
    </row>
    <row r="458" spans="1:25" ht="15">
      <c r="A458" s="81"/>
      <c r="B458" s="7"/>
      <c r="C458" s="7"/>
      <c r="D458" s="7"/>
      <c r="E458" s="7"/>
      <c r="F458" s="7"/>
      <c r="G458" s="7"/>
      <c r="H458" s="7"/>
      <c r="J458" s="7"/>
      <c r="K458" s="7"/>
      <c r="L458" s="7"/>
      <c r="M458" s="7"/>
      <c r="N458" s="7"/>
      <c r="O458" s="7"/>
      <c r="P458" s="7"/>
      <c r="Q458" s="7"/>
      <c r="R458" s="7"/>
      <c r="S458" s="7"/>
      <c r="T458" s="7"/>
      <c r="U458" s="7"/>
      <c r="V458" s="7"/>
      <c r="W458" s="7"/>
      <c r="X458" s="7"/>
      <c r="Y458" s="7"/>
    </row>
    <row r="459" spans="1:25" ht="15">
      <c r="A459" s="81"/>
      <c r="B459" s="7"/>
      <c r="C459" s="7"/>
      <c r="D459" s="7"/>
      <c r="E459" s="7"/>
      <c r="F459" s="7"/>
      <c r="G459" s="7"/>
      <c r="H459" s="7"/>
      <c r="J459" s="7"/>
      <c r="K459" s="7"/>
      <c r="L459" s="7"/>
      <c r="M459" s="7"/>
      <c r="N459" s="7"/>
      <c r="O459" s="7"/>
      <c r="P459" s="7"/>
      <c r="Q459" s="7"/>
      <c r="R459" s="7"/>
      <c r="S459" s="7"/>
      <c r="T459" s="7"/>
      <c r="U459" s="7"/>
      <c r="V459" s="7"/>
      <c r="W459" s="7"/>
      <c r="X459" s="7"/>
      <c r="Y459" s="7"/>
    </row>
    <row r="460" spans="1:25" ht="15">
      <c r="A460" s="81"/>
      <c r="B460" s="7"/>
      <c r="C460" s="7"/>
      <c r="D460" s="7"/>
      <c r="E460" s="7"/>
      <c r="F460" s="7"/>
      <c r="G460" s="7"/>
      <c r="H460" s="7"/>
      <c r="J460" s="7"/>
      <c r="K460" s="7"/>
      <c r="L460" s="7"/>
      <c r="M460" s="7"/>
      <c r="N460" s="7"/>
      <c r="O460" s="7"/>
      <c r="P460" s="7"/>
      <c r="Q460" s="7"/>
      <c r="R460" s="7"/>
      <c r="S460" s="7"/>
      <c r="T460" s="7"/>
      <c r="U460" s="7"/>
      <c r="V460" s="7"/>
      <c r="W460" s="7"/>
      <c r="X460" s="7"/>
      <c r="Y460" s="7"/>
    </row>
    <row r="461" spans="1:25" ht="15">
      <c r="A461" s="81"/>
      <c r="B461" s="7"/>
      <c r="C461" s="7"/>
      <c r="D461" s="7"/>
      <c r="E461" s="7"/>
      <c r="F461" s="7"/>
      <c r="G461" s="7"/>
      <c r="H461" s="7"/>
      <c r="J461" s="7"/>
      <c r="K461" s="7"/>
      <c r="L461" s="7"/>
      <c r="M461" s="7"/>
      <c r="N461" s="7"/>
      <c r="O461" s="7"/>
      <c r="P461" s="7"/>
      <c r="Q461" s="7"/>
      <c r="R461" s="7"/>
      <c r="S461" s="7"/>
      <c r="T461" s="7"/>
      <c r="U461" s="7"/>
      <c r="V461" s="7"/>
      <c r="W461" s="7"/>
      <c r="X461" s="7"/>
      <c r="Y461" s="7"/>
    </row>
    <row r="462" spans="1:25" ht="15">
      <c r="A462" s="81"/>
      <c r="B462" s="7"/>
      <c r="C462" s="7"/>
      <c r="D462" s="7"/>
      <c r="E462" s="7"/>
      <c r="F462" s="7"/>
      <c r="G462" s="7"/>
      <c r="H462" s="7"/>
      <c r="J462" s="7"/>
      <c r="K462" s="7"/>
      <c r="L462" s="7"/>
      <c r="M462" s="7"/>
      <c r="N462" s="7"/>
      <c r="O462" s="7"/>
      <c r="P462" s="7"/>
      <c r="Q462" s="7"/>
      <c r="R462" s="7"/>
      <c r="S462" s="7"/>
      <c r="T462" s="7"/>
      <c r="U462" s="7"/>
      <c r="V462" s="7"/>
      <c r="W462" s="7"/>
      <c r="X462" s="7"/>
      <c r="Y462" s="7"/>
    </row>
    <row r="463" spans="1:25" ht="15">
      <c r="A463" s="81"/>
      <c r="B463" s="7"/>
      <c r="C463" s="7"/>
      <c r="D463" s="7"/>
      <c r="E463" s="7"/>
      <c r="F463" s="7"/>
      <c r="G463" s="7"/>
      <c r="H463" s="7"/>
      <c r="J463" s="7"/>
      <c r="K463" s="7"/>
      <c r="L463" s="7"/>
      <c r="M463" s="7"/>
      <c r="N463" s="7"/>
      <c r="O463" s="7"/>
      <c r="P463" s="7"/>
      <c r="Q463" s="7"/>
      <c r="R463" s="7"/>
      <c r="S463" s="7"/>
      <c r="T463" s="7"/>
      <c r="U463" s="7"/>
      <c r="V463" s="7"/>
      <c r="W463" s="7"/>
      <c r="X463" s="7"/>
      <c r="Y463" s="7"/>
    </row>
    <row r="464" spans="1:25" ht="15">
      <c r="A464" s="81"/>
      <c r="B464" s="7"/>
      <c r="C464" s="7"/>
      <c r="D464" s="7"/>
      <c r="E464" s="7"/>
      <c r="F464" s="7"/>
      <c r="G464" s="7"/>
      <c r="H464" s="7"/>
      <c r="J464" s="7"/>
      <c r="K464" s="7"/>
      <c r="L464" s="7"/>
      <c r="M464" s="7"/>
      <c r="N464" s="7"/>
      <c r="O464" s="7"/>
      <c r="P464" s="7"/>
      <c r="Q464" s="7"/>
      <c r="R464" s="7"/>
      <c r="S464" s="7"/>
      <c r="T464" s="7"/>
      <c r="U464" s="7"/>
      <c r="V464" s="7"/>
      <c r="W464" s="7"/>
      <c r="X464" s="7"/>
      <c r="Y464" s="7"/>
    </row>
    <row r="465" spans="1:25" ht="15">
      <c r="A465" s="81"/>
      <c r="B465" s="7"/>
      <c r="C465" s="7"/>
      <c r="D465" s="7"/>
      <c r="E465" s="7"/>
      <c r="F465" s="7"/>
      <c r="G465" s="7"/>
      <c r="H465" s="7"/>
      <c r="J465" s="7"/>
      <c r="K465" s="7"/>
      <c r="L465" s="7"/>
      <c r="M465" s="7"/>
      <c r="N465" s="7"/>
      <c r="O465" s="7"/>
      <c r="P465" s="7"/>
      <c r="Q465" s="7"/>
      <c r="R465" s="7"/>
      <c r="S465" s="7"/>
      <c r="T465" s="7"/>
      <c r="U465" s="7"/>
      <c r="V465" s="7"/>
      <c r="W465" s="7"/>
      <c r="X465" s="7"/>
      <c r="Y465" s="7"/>
    </row>
    <row r="466" spans="1:25" ht="15">
      <c r="A466" s="81"/>
      <c r="B466" s="7"/>
      <c r="C466" s="7"/>
      <c r="D466" s="7"/>
      <c r="E466" s="7"/>
      <c r="F466" s="7"/>
      <c r="G466" s="7"/>
      <c r="H466" s="7"/>
      <c r="J466" s="7"/>
      <c r="K466" s="7"/>
      <c r="L466" s="7"/>
      <c r="M466" s="7"/>
      <c r="N466" s="7"/>
      <c r="O466" s="7"/>
      <c r="P466" s="7"/>
      <c r="Q466" s="7"/>
      <c r="R466" s="7"/>
      <c r="S466" s="7"/>
      <c r="T466" s="7"/>
      <c r="U466" s="7"/>
      <c r="V466" s="7"/>
      <c r="W466" s="7"/>
      <c r="X466" s="7"/>
      <c r="Y466" s="7"/>
    </row>
    <row r="467" spans="1:25" ht="15">
      <c r="A467" s="81"/>
      <c r="B467" s="7"/>
      <c r="C467" s="7"/>
      <c r="D467" s="7"/>
      <c r="E467" s="7"/>
      <c r="F467" s="7"/>
      <c r="G467" s="7"/>
      <c r="H467" s="7"/>
      <c r="J467" s="7"/>
      <c r="K467" s="7"/>
      <c r="L467" s="7"/>
      <c r="M467" s="7"/>
      <c r="N467" s="7"/>
      <c r="O467" s="7"/>
      <c r="P467" s="7"/>
      <c r="Q467" s="7"/>
      <c r="R467" s="7"/>
      <c r="S467" s="7"/>
      <c r="T467" s="7"/>
      <c r="U467" s="7"/>
      <c r="V467" s="7"/>
      <c r="W467" s="7"/>
      <c r="X467" s="7"/>
      <c r="Y467" s="7"/>
    </row>
    <row r="468" spans="1:25" ht="15">
      <c r="A468" s="81"/>
      <c r="B468" s="7"/>
      <c r="C468" s="7"/>
      <c r="D468" s="7"/>
      <c r="E468" s="7"/>
      <c r="F468" s="7"/>
      <c r="G468" s="7"/>
      <c r="H468" s="7"/>
      <c r="J468" s="7"/>
      <c r="K468" s="7"/>
      <c r="L468" s="7"/>
      <c r="M468" s="7"/>
      <c r="N468" s="7"/>
      <c r="O468" s="7"/>
      <c r="P468" s="7"/>
      <c r="Q468" s="7"/>
      <c r="R468" s="7"/>
      <c r="S468" s="7"/>
      <c r="T468" s="7"/>
      <c r="U468" s="7"/>
      <c r="V468" s="7"/>
      <c r="W468" s="7"/>
      <c r="X468" s="7"/>
      <c r="Y468" s="7"/>
    </row>
    <row r="469" spans="1:25" ht="15">
      <c r="A469" s="81"/>
      <c r="B469" s="7"/>
      <c r="C469" s="7"/>
      <c r="D469" s="7"/>
      <c r="E469" s="7"/>
      <c r="F469" s="7"/>
      <c r="G469" s="7"/>
      <c r="H469" s="7"/>
      <c r="J469" s="7"/>
      <c r="K469" s="7"/>
      <c r="L469" s="7"/>
      <c r="M469" s="7"/>
      <c r="N469" s="7"/>
      <c r="O469" s="7"/>
      <c r="P469" s="7"/>
      <c r="Q469" s="7"/>
      <c r="R469" s="7"/>
      <c r="S469" s="7"/>
      <c r="T469" s="7"/>
      <c r="U469" s="7"/>
      <c r="V469" s="7"/>
      <c r="W469" s="7"/>
      <c r="X469" s="7"/>
      <c r="Y469" s="7"/>
    </row>
    <row r="470" spans="1:25" ht="15">
      <c r="A470" s="81"/>
      <c r="B470" s="7"/>
      <c r="C470" s="7"/>
      <c r="D470" s="7"/>
      <c r="E470" s="7"/>
      <c r="F470" s="7"/>
      <c r="G470" s="7"/>
      <c r="H470" s="7"/>
      <c r="J470" s="7"/>
      <c r="K470" s="7"/>
      <c r="L470" s="7"/>
      <c r="M470" s="7"/>
      <c r="N470" s="7"/>
      <c r="O470" s="7"/>
      <c r="P470" s="7"/>
      <c r="Q470" s="7"/>
      <c r="R470" s="7"/>
      <c r="S470" s="7"/>
      <c r="T470" s="7"/>
      <c r="U470" s="7"/>
      <c r="V470" s="7"/>
      <c r="W470" s="7"/>
      <c r="X470" s="7"/>
      <c r="Y470" s="7"/>
    </row>
    <row r="471" spans="1:25" ht="15">
      <c r="A471" s="81"/>
      <c r="B471" s="7"/>
      <c r="C471" s="7"/>
      <c r="D471" s="7"/>
      <c r="E471" s="7"/>
      <c r="F471" s="7"/>
      <c r="G471" s="7"/>
      <c r="H471" s="7"/>
      <c r="J471" s="7"/>
      <c r="K471" s="7"/>
      <c r="L471" s="7"/>
      <c r="M471" s="7"/>
      <c r="N471" s="7"/>
      <c r="O471" s="7"/>
      <c r="P471" s="7"/>
      <c r="Q471" s="7"/>
      <c r="R471" s="7"/>
      <c r="S471" s="7"/>
      <c r="T471" s="7"/>
      <c r="U471" s="7"/>
      <c r="V471" s="7"/>
      <c r="W471" s="7"/>
      <c r="X471" s="7"/>
      <c r="Y471" s="7"/>
    </row>
    <row r="472" spans="1:25" ht="15">
      <c r="A472" s="81"/>
      <c r="B472" s="7"/>
      <c r="C472" s="7"/>
      <c r="D472" s="7"/>
      <c r="E472" s="7"/>
      <c r="F472" s="7"/>
      <c r="G472" s="7"/>
      <c r="H472" s="7"/>
      <c r="J472" s="7"/>
      <c r="K472" s="7"/>
      <c r="L472" s="7"/>
      <c r="M472" s="7"/>
      <c r="N472" s="7"/>
      <c r="O472" s="7"/>
      <c r="P472" s="7"/>
      <c r="Q472" s="7"/>
      <c r="R472" s="7"/>
      <c r="S472" s="7"/>
      <c r="T472" s="7"/>
      <c r="U472" s="7"/>
      <c r="V472" s="7"/>
      <c r="W472" s="7"/>
      <c r="X472" s="7"/>
      <c r="Y472" s="7"/>
    </row>
    <row r="473" spans="1:25" ht="15">
      <c r="A473" s="81"/>
      <c r="B473" s="7"/>
      <c r="C473" s="7"/>
      <c r="D473" s="7"/>
      <c r="E473" s="7"/>
      <c r="F473" s="7"/>
      <c r="G473" s="7"/>
      <c r="H473" s="7"/>
      <c r="J473" s="7"/>
      <c r="K473" s="7"/>
      <c r="L473" s="7"/>
      <c r="M473" s="7"/>
      <c r="N473" s="7"/>
      <c r="O473" s="7"/>
      <c r="P473" s="7"/>
      <c r="Q473" s="7"/>
      <c r="R473" s="7"/>
      <c r="S473" s="7"/>
      <c r="T473" s="7"/>
      <c r="U473" s="7"/>
      <c r="V473" s="7"/>
      <c r="W473" s="7"/>
      <c r="X473" s="7"/>
      <c r="Y473" s="7"/>
    </row>
    <row r="474" spans="1:25" ht="15">
      <c r="A474" s="81"/>
      <c r="B474" s="7"/>
      <c r="C474" s="7"/>
      <c r="D474" s="7"/>
      <c r="E474" s="7"/>
      <c r="F474" s="7"/>
      <c r="G474" s="7"/>
      <c r="H474" s="7"/>
      <c r="J474" s="7"/>
      <c r="K474" s="7"/>
      <c r="L474" s="7"/>
      <c r="M474" s="7"/>
      <c r="N474" s="7"/>
      <c r="O474" s="7"/>
      <c r="P474" s="7"/>
      <c r="Q474" s="7"/>
      <c r="R474" s="7"/>
      <c r="S474" s="7"/>
      <c r="T474" s="7"/>
      <c r="U474" s="7"/>
      <c r="V474" s="7"/>
      <c r="W474" s="7"/>
      <c r="X474" s="7"/>
      <c r="Y474" s="7"/>
    </row>
    <row r="475" spans="1:25" ht="15">
      <c r="A475" s="81"/>
      <c r="B475" s="7"/>
      <c r="C475" s="7"/>
      <c r="D475" s="7"/>
      <c r="E475" s="7"/>
      <c r="F475" s="7"/>
      <c r="G475" s="7"/>
      <c r="H475" s="7"/>
      <c r="J475" s="7"/>
      <c r="K475" s="7"/>
      <c r="L475" s="7"/>
      <c r="M475" s="7"/>
      <c r="N475" s="7"/>
      <c r="O475" s="7"/>
      <c r="P475" s="7"/>
      <c r="Q475" s="7"/>
      <c r="R475" s="7"/>
      <c r="S475" s="7"/>
      <c r="T475" s="7"/>
      <c r="U475" s="7"/>
      <c r="V475" s="7"/>
      <c r="W475" s="7"/>
      <c r="X475" s="7"/>
      <c r="Y475" s="7"/>
    </row>
    <row r="476" spans="1:25" ht="15">
      <c r="A476" s="81"/>
      <c r="B476" s="7"/>
      <c r="C476" s="7"/>
      <c r="D476" s="7"/>
      <c r="E476" s="7"/>
      <c r="F476" s="7"/>
      <c r="G476" s="7"/>
      <c r="H476" s="7"/>
      <c r="J476" s="7"/>
      <c r="K476" s="7"/>
      <c r="L476" s="7"/>
      <c r="M476" s="7"/>
      <c r="N476" s="7"/>
      <c r="O476" s="7"/>
      <c r="P476" s="7"/>
      <c r="Q476" s="7"/>
      <c r="R476" s="7"/>
      <c r="S476" s="7"/>
      <c r="T476" s="7"/>
      <c r="U476" s="7"/>
      <c r="V476" s="7"/>
      <c r="W476" s="7"/>
      <c r="X476" s="7"/>
      <c r="Y476" s="7"/>
    </row>
    <row r="477" spans="1:25" ht="15">
      <c r="A477" s="81"/>
      <c r="B477" s="7"/>
      <c r="C477" s="7"/>
      <c r="D477" s="7"/>
      <c r="E477" s="7"/>
      <c r="F477" s="7"/>
      <c r="G477" s="7"/>
      <c r="H477" s="7"/>
      <c r="J477" s="7"/>
      <c r="K477" s="7"/>
      <c r="L477" s="7"/>
      <c r="M477" s="7"/>
      <c r="N477" s="7"/>
      <c r="O477" s="7"/>
      <c r="P477" s="7"/>
      <c r="Q477" s="7"/>
      <c r="R477" s="7"/>
      <c r="S477" s="7"/>
      <c r="T477" s="7"/>
      <c r="U477" s="7"/>
      <c r="V477" s="7"/>
      <c r="W477" s="7"/>
      <c r="X477" s="7"/>
      <c r="Y477" s="7"/>
    </row>
    <row r="478" spans="1:25" ht="15">
      <c r="A478" s="81"/>
      <c r="B478" s="7"/>
      <c r="C478" s="7"/>
      <c r="D478" s="7"/>
      <c r="E478" s="7"/>
      <c r="F478" s="7"/>
      <c r="G478" s="7"/>
      <c r="H478" s="7"/>
      <c r="J478" s="7"/>
      <c r="K478" s="7"/>
      <c r="L478" s="7"/>
      <c r="M478" s="7"/>
      <c r="N478" s="7"/>
      <c r="O478" s="7"/>
      <c r="P478" s="7"/>
      <c r="Q478" s="7"/>
      <c r="R478" s="7"/>
      <c r="S478" s="7"/>
      <c r="T478" s="7"/>
      <c r="U478" s="7"/>
      <c r="V478" s="7"/>
      <c r="W478" s="7"/>
      <c r="X478" s="7"/>
      <c r="Y478" s="7"/>
    </row>
    <row r="479" spans="1:25" ht="15">
      <c r="A479" s="81"/>
      <c r="B479" s="7"/>
      <c r="C479" s="7"/>
      <c r="D479" s="7"/>
      <c r="E479" s="7"/>
      <c r="F479" s="7"/>
      <c r="G479" s="7"/>
      <c r="H479" s="7"/>
      <c r="J479" s="7"/>
      <c r="K479" s="7"/>
      <c r="L479" s="7"/>
      <c r="M479" s="7"/>
      <c r="N479" s="7"/>
      <c r="O479" s="7"/>
      <c r="P479" s="7"/>
      <c r="Q479" s="7"/>
      <c r="R479" s="7"/>
      <c r="S479" s="7"/>
      <c r="T479" s="7"/>
      <c r="U479" s="7"/>
      <c r="V479" s="7"/>
      <c r="W479" s="7"/>
      <c r="X479" s="7"/>
      <c r="Y479" s="7"/>
    </row>
    <row r="480" spans="1:25" ht="15">
      <c r="A480" s="81"/>
      <c r="B480" s="7"/>
      <c r="C480" s="7"/>
      <c r="D480" s="7"/>
      <c r="E480" s="7"/>
      <c r="F480" s="7"/>
      <c r="G480" s="7"/>
      <c r="H480" s="7"/>
      <c r="J480" s="7"/>
      <c r="K480" s="7"/>
      <c r="L480" s="7"/>
      <c r="M480" s="7"/>
      <c r="N480" s="7"/>
      <c r="O480" s="7"/>
      <c r="P480" s="7"/>
      <c r="Q480" s="7"/>
      <c r="R480" s="7"/>
      <c r="S480" s="7"/>
      <c r="T480" s="7"/>
      <c r="U480" s="7"/>
      <c r="V480" s="7"/>
      <c r="W480" s="7"/>
      <c r="X480" s="7"/>
      <c r="Y480" s="7"/>
    </row>
    <row r="481" spans="1:25" ht="15">
      <c r="A481" s="81"/>
      <c r="B481" s="7"/>
      <c r="C481" s="7"/>
      <c r="D481" s="7"/>
      <c r="E481" s="7"/>
      <c r="F481" s="7"/>
      <c r="G481" s="7"/>
      <c r="H481" s="7"/>
      <c r="J481" s="7"/>
      <c r="K481" s="7"/>
      <c r="L481" s="7"/>
      <c r="M481" s="7"/>
      <c r="N481" s="7"/>
      <c r="O481" s="7"/>
      <c r="P481" s="7"/>
      <c r="Q481" s="7"/>
      <c r="R481" s="7"/>
      <c r="S481" s="7"/>
      <c r="T481" s="7"/>
      <c r="U481" s="7"/>
      <c r="V481" s="7"/>
      <c r="W481" s="7"/>
      <c r="X481" s="7"/>
      <c r="Y481" s="7"/>
    </row>
    <row r="482" spans="1:25" ht="15">
      <c r="A482" s="81"/>
      <c r="B482" s="7"/>
      <c r="C482" s="7"/>
      <c r="D482" s="7"/>
      <c r="E482" s="7"/>
      <c r="F482" s="7"/>
      <c r="G482" s="7"/>
      <c r="H482" s="7"/>
      <c r="J482" s="7"/>
      <c r="K482" s="7"/>
      <c r="L482" s="7"/>
      <c r="M482" s="7"/>
      <c r="N482" s="7"/>
      <c r="O482" s="7"/>
      <c r="P482" s="7"/>
      <c r="Q482" s="7"/>
      <c r="R482" s="7"/>
      <c r="S482" s="7"/>
      <c r="T482" s="7"/>
      <c r="U482" s="7"/>
      <c r="V482" s="7"/>
      <c r="W482" s="7"/>
      <c r="X482" s="7"/>
      <c r="Y482" s="7"/>
    </row>
    <row r="483" spans="1:25" ht="15">
      <c r="A483" s="81"/>
      <c r="B483" s="7"/>
      <c r="C483" s="7"/>
      <c r="D483" s="7"/>
      <c r="E483" s="7"/>
      <c r="F483" s="7"/>
      <c r="G483" s="7"/>
      <c r="H483" s="7"/>
      <c r="J483" s="7"/>
      <c r="K483" s="7"/>
      <c r="L483" s="7"/>
      <c r="M483" s="7"/>
      <c r="N483" s="7"/>
      <c r="O483" s="7"/>
      <c r="P483" s="7"/>
      <c r="Q483" s="7"/>
      <c r="R483" s="7"/>
      <c r="S483" s="7"/>
      <c r="T483" s="7"/>
      <c r="U483" s="7"/>
      <c r="V483" s="7"/>
      <c r="W483" s="7"/>
      <c r="X483" s="7"/>
      <c r="Y483" s="7"/>
    </row>
    <row r="484" spans="1:25" ht="15">
      <c r="A484" s="81"/>
      <c r="B484" s="7"/>
      <c r="C484" s="7"/>
      <c r="D484" s="7"/>
      <c r="E484" s="7"/>
      <c r="F484" s="7"/>
      <c r="G484" s="7"/>
      <c r="H484" s="7"/>
      <c r="J484" s="7"/>
      <c r="K484" s="7"/>
      <c r="L484" s="7"/>
      <c r="M484" s="7"/>
      <c r="N484" s="7"/>
      <c r="O484" s="7"/>
      <c r="P484" s="7"/>
      <c r="Q484" s="7"/>
      <c r="R484" s="7"/>
      <c r="S484" s="7"/>
      <c r="T484" s="7"/>
      <c r="U484" s="7"/>
      <c r="V484" s="7"/>
      <c r="W484" s="7"/>
      <c r="X484" s="7"/>
      <c r="Y484" s="7"/>
    </row>
    <row r="485" spans="1:25" ht="15">
      <c r="A485" s="81"/>
      <c r="B485" s="7"/>
      <c r="C485" s="7"/>
      <c r="D485" s="7"/>
      <c r="E485" s="7"/>
      <c r="F485" s="7"/>
      <c r="G485" s="7"/>
      <c r="H485" s="7"/>
      <c r="J485" s="7"/>
      <c r="K485" s="7"/>
      <c r="L485" s="7"/>
      <c r="M485" s="7"/>
      <c r="N485" s="7"/>
      <c r="O485" s="7"/>
      <c r="P485" s="7"/>
      <c r="Q485" s="7"/>
      <c r="R485" s="7"/>
      <c r="S485" s="7"/>
      <c r="T485" s="7"/>
      <c r="U485" s="7"/>
      <c r="V485" s="7"/>
      <c r="W485" s="7"/>
      <c r="X485" s="7"/>
      <c r="Y485" s="7"/>
    </row>
    <row r="486" spans="1:25" ht="15">
      <c r="A486" s="81"/>
      <c r="B486" s="7"/>
      <c r="C486" s="7"/>
      <c r="D486" s="7"/>
      <c r="E486" s="7"/>
      <c r="F486" s="7"/>
      <c r="G486" s="7"/>
      <c r="H486" s="7"/>
      <c r="J486" s="7"/>
      <c r="K486" s="7"/>
      <c r="L486" s="7"/>
      <c r="M486" s="7"/>
      <c r="N486" s="7"/>
      <c r="O486" s="7"/>
      <c r="P486" s="7"/>
      <c r="Q486" s="7"/>
      <c r="R486" s="7"/>
      <c r="S486" s="7"/>
      <c r="T486" s="7"/>
      <c r="U486" s="7"/>
      <c r="V486" s="7"/>
      <c r="W486" s="7"/>
      <c r="X486" s="7"/>
      <c r="Y486" s="7"/>
    </row>
    <row r="487" spans="1:25" ht="15">
      <c r="A487" s="81"/>
      <c r="B487" s="7"/>
      <c r="C487" s="7"/>
      <c r="D487" s="7"/>
      <c r="E487" s="7"/>
      <c r="F487" s="7"/>
      <c r="G487" s="7"/>
      <c r="H487" s="7"/>
      <c r="J487" s="7"/>
      <c r="K487" s="7"/>
      <c r="L487" s="7"/>
      <c r="M487" s="7"/>
      <c r="N487" s="7"/>
      <c r="O487" s="7"/>
      <c r="P487" s="7"/>
      <c r="Q487" s="7"/>
      <c r="R487" s="7"/>
      <c r="S487" s="7"/>
      <c r="T487" s="7"/>
      <c r="U487" s="7"/>
      <c r="V487" s="7"/>
      <c r="W487" s="7"/>
      <c r="X487" s="7"/>
      <c r="Y487" s="7"/>
    </row>
    <row r="488" spans="1:25" ht="15">
      <c r="A488" s="81"/>
      <c r="B488" s="7"/>
      <c r="C488" s="7"/>
      <c r="D488" s="7"/>
      <c r="E488" s="7"/>
      <c r="F488" s="7"/>
      <c r="G488" s="7"/>
      <c r="H488" s="7"/>
      <c r="J488" s="7"/>
      <c r="K488" s="7"/>
      <c r="L488" s="7"/>
      <c r="M488" s="7"/>
      <c r="N488" s="7"/>
      <c r="O488" s="7"/>
      <c r="P488" s="7"/>
      <c r="Q488" s="7"/>
      <c r="R488" s="7"/>
      <c r="S488" s="7"/>
      <c r="T488" s="7"/>
      <c r="U488" s="7"/>
      <c r="V488" s="7"/>
      <c r="W488" s="7"/>
      <c r="X488" s="7"/>
      <c r="Y488" s="7"/>
    </row>
    <row r="489" spans="1:25" ht="15">
      <c r="A489" s="81"/>
      <c r="B489" s="7"/>
      <c r="C489" s="7"/>
      <c r="D489" s="7"/>
      <c r="E489" s="7"/>
      <c r="F489" s="7"/>
      <c r="G489" s="7"/>
      <c r="H489" s="7"/>
      <c r="J489" s="7"/>
      <c r="K489" s="7"/>
      <c r="L489" s="7"/>
      <c r="M489" s="7"/>
      <c r="N489" s="7"/>
      <c r="O489" s="7"/>
      <c r="P489" s="7"/>
      <c r="Q489" s="7"/>
      <c r="R489" s="7"/>
      <c r="S489" s="7"/>
      <c r="T489" s="7"/>
      <c r="U489" s="7"/>
      <c r="V489" s="7"/>
      <c r="W489" s="7"/>
      <c r="X489" s="7"/>
      <c r="Y489" s="7"/>
    </row>
    <row r="490" spans="1:25" ht="15">
      <c r="A490" s="81"/>
      <c r="B490" s="7"/>
      <c r="C490" s="7"/>
      <c r="D490" s="7"/>
      <c r="E490" s="7"/>
      <c r="F490" s="7"/>
      <c r="G490" s="7"/>
      <c r="H490" s="7"/>
      <c r="J490" s="7"/>
      <c r="K490" s="7"/>
      <c r="L490" s="7"/>
      <c r="M490" s="7"/>
      <c r="N490" s="7"/>
      <c r="O490" s="7"/>
      <c r="P490" s="7"/>
      <c r="Q490" s="7"/>
      <c r="R490" s="7"/>
      <c r="S490" s="7"/>
      <c r="T490" s="7"/>
      <c r="U490" s="7"/>
      <c r="V490" s="7"/>
      <c r="W490" s="7"/>
      <c r="X490" s="7"/>
      <c r="Y490" s="7"/>
    </row>
    <row r="491" spans="1:25" ht="15">
      <c r="A491" s="81"/>
      <c r="B491" s="7"/>
      <c r="C491" s="7"/>
      <c r="D491" s="7"/>
      <c r="E491" s="7"/>
      <c r="F491" s="7"/>
      <c r="G491" s="7"/>
      <c r="H491" s="7"/>
      <c r="J491" s="7"/>
      <c r="K491" s="7"/>
      <c r="L491" s="7"/>
      <c r="M491" s="7"/>
      <c r="N491" s="7"/>
      <c r="O491" s="7"/>
      <c r="P491" s="7"/>
      <c r="Q491" s="7"/>
      <c r="R491" s="7"/>
      <c r="S491" s="7"/>
      <c r="T491" s="7"/>
      <c r="U491" s="7"/>
      <c r="V491" s="7"/>
      <c r="W491" s="7"/>
      <c r="X491" s="7"/>
      <c r="Y491" s="7"/>
    </row>
    <row r="492" spans="1:25" ht="15">
      <c r="A492" s="81"/>
      <c r="B492" s="7"/>
      <c r="C492" s="7"/>
      <c r="D492" s="7"/>
      <c r="E492" s="7"/>
      <c r="F492" s="7"/>
      <c r="G492" s="7"/>
      <c r="H492" s="7"/>
      <c r="J492" s="7"/>
      <c r="K492" s="7"/>
      <c r="L492" s="7"/>
      <c r="M492" s="7"/>
      <c r="N492" s="7"/>
      <c r="O492" s="7"/>
      <c r="P492" s="7"/>
      <c r="Q492" s="7"/>
      <c r="R492" s="7"/>
      <c r="S492" s="7"/>
      <c r="T492" s="7"/>
      <c r="U492" s="7"/>
      <c r="V492" s="7"/>
      <c r="W492" s="7"/>
      <c r="X492" s="7"/>
      <c r="Y492" s="7"/>
    </row>
    <row r="493" spans="1:25" ht="15">
      <c r="A493" s="81"/>
      <c r="B493" s="7"/>
      <c r="C493" s="7"/>
      <c r="D493" s="7"/>
      <c r="E493" s="7"/>
      <c r="F493" s="7"/>
      <c r="G493" s="7"/>
      <c r="H493" s="7"/>
      <c r="J493" s="7"/>
      <c r="K493" s="7"/>
      <c r="L493" s="7"/>
      <c r="M493" s="7"/>
      <c r="N493" s="7"/>
      <c r="O493" s="7"/>
      <c r="P493" s="7"/>
      <c r="Q493" s="7"/>
      <c r="R493" s="7"/>
      <c r="S493" s="7"/>
      <c r="T493" s="7"/>
      <c r="U493" s="7"/>
      <c r="V493" s="7"/>
      <c r="W493" s="7"/>
      <c r="X493" s="7"/>
      <c r="Y493" s="7"/>
    </row>
    <row r="494" spans="1:25" ht="15">
      <c r="A494" s="81"/>
      <c r="B494" s="7"/>
      <c r="C494" s="7"/>
      <c r="D494" s="7"/>
      <c r="E494" s="7"/>
      <c r="F494" s="7"/>
      <c r="G494" s="7"/>
      <c r="H494" s="7"/>
      <c r="J494" s="7"/>
      <c r="K494" s="7"/>
      <c r="L494" s="7"/>
      <c r="M494" s="7"/>
      <c r="N494" s="7"/>
      <c r="O494" s="7"/>
      <c r="P494" s="7"/>
      <c r="Q494" s="7"/>
      <c r="R494" s="7"/>
      <c r="S494" s="7"/>
      <c r="T494" s="7"/>
      <c r="U494" s="7"/>
      <c r="V494" s="7"/>
      <c r="W494" s="7"/>
      <c r="X494" s="7"/>
      <c r="Y494" s="7"/>
    </row>
    <row r="495" spans="1:25" ht="15">
      <c r="A495" s="81"/>
      <c r="B495" s="7"/>
      <c r="C495" s="7"/>
      <c r="D495" s="7"/>
      <c r="E495" s="7"/>
      <c r="F495" s="7"/>
      <c r="G495" s="7"/>
      <c r="H495" s="7"/>
      <c r="J495" s="7"/>
      <c r="K495" s="7"/>
      <c r="L495" s="7"/>
      <c r="M495" s="7"/>
      <c r="N495" s="7"/>
      <c r="O495" s="7"/>
      <c r="P495" s="7"/>
      <c r="Q495" s="7"/>
      <c r="R495" s="7"/>
      <c r="S495" s="7"/>
      <c r="T495" s="7"/>
      <c r="U495" s="7"/>
      <c r="V495" s="7"/>
      <c r="W495" s="7"/>
      <c r="X495" s="7"/>
      <c r="Y495" s="7"/>
    </row>
    <row r="496" spans="1:25" ht="15">
      <c r="A496" s="81"/>
      <c r="B496" s="7"/>
      <c r="C496" s="7"/>
      <c r="D496" s="7"/>
      <c r="E496" s="7"/>
      <c r="F496" s="7"/>
      <c r="G496" s="7"/>
      <c r="H496" s="7"/>
      <c r="J496" s="7"/>
      <c r="K496" s="7"/>
      <c r="L496" s="7"/>
      <c r="M496" s="7"/>
      <c r="N496" s="7"/>
      <c r="O496" s="7"/>
      <c r="P496" s="7"/>
      <c r="Q496" s="7"/>
      <c r="R496" s="7"/>
      <c r="S496" s="7"/>
      <c r="T496" s="7"/>
      <c r="U496" s="7"/>
      <c r="V496" s="7"/>
      <c r="W496" s="7"/>
      <c r="X496" s="7"/>
      <c r="Y496" s="7"/>
    </row>
    <row r="497" spans="1:25" ht="15">
      <c r="A497" s="81"/>
      <c r="B497" s="7"/>
      <c r="C497" s="7"/>
      <c r="D497" s="7"/>
      <c r="E497" s="7"/>
      <c r="F497" s="7"/>
      <c r="G497" s="7"/>
      <c r="H497" s="7"/>
      <c r="J497" s="7"/>
      <c r="K497" s="7"/>
      <c r="L497" s="7"/>
      <c r="M497" s="7"/>
      <c r="N497" s="7"/>
      <c r="O497" s="7"/>
      <c r="P497" s="7"/>
      <c r="Q497" s="7"/>
      <c r="R497" s="7"/>
      <c r="S497" s="7"/>
      <c r="T497" s="7"/>
      <c r="U497" s="7"/>
      <c r="V497" s="7"/>
      <c r="W497" s="7"/>
      <c r="X497" s="7"/>
      <c r="Y497" s="7"/>
    </row>
    <row r="498" spans="1:25" ht="15">
      <c r="A498" s="81"/>
      <c r="B498" s="7"/>
      <c r="C498" s="7"/>
      <c r="D498" s="7"/>
      <c r="E498" s="7"/>
      <c r="F498" s="7"/>
      <c r="G498" s="7"/>
      <c r="H498" s="7"/>
      <c r="J498" s="7"/>
      <c r="K498" s="7"/>
      <c r="L498" s="7"/>
      <c r="M498" s="7"/>
      <c r="N498" s="7"/>
      <c r="O498" s="7"/>
      <c r="P498" s="7"/>
      <c r="Q498" s="7"/>
      <c r="R498" s="7"/>
      <c r="S498" s="7"/>
      <c r="T498" s="7"/>
      <c r="U498" s="7"/>
      <c r="V498" s="7"/>
      <c r="W498" s="7"/>
      <c r="X498" s="7"/>
      <c r="Y498" s="7"/>
    </row>
    <row r="499" spans="1:25" ht="15">
      <c r="A499" s="81"/>
      <c r="B499" s="7"/>
      <c r="C499" s="7"/>
      <c r="D499" s="7"/>
      <c r="E499" s="7"/>
      <c r="F499" s="7"/>
      <c r="G499" s="7"/>
      <c r="H499" s="7"/>
      <c r="J499" s="7"/>
      <c r="K499" s="7"/>
      <c r="L499" s="7"/>
      <c r="M499" s="7"/>
      <c r="N499" s="7"/>
      <c r="O499" s="7"/>
      <c r="P499" s="7"/>
      <c r="Q499" s="7"/>
      <c r="R499" s="7"/>
      <c r="S499" s="7"/>
      <c r="T499" s="7"/>
      <c r="U499" s="7"/>
      <c r="V499" s="7"/>
      <c r="W499" s="7"/>
      <c r="X499" s="7"/>
      <c r="Y499" s="7"/>
    </row>
    <row r="500" spans="1:25" ht="15">
      <c r="A500" s="81"/>
      <c r="B500" s="7"/>
      <c r="C500" s="7"/>
      <c r="D500" s="7"/>
      <c r="E500" s="7"/>
      <c r="F500" s="7"/>
      <c r="G500" s="7"/>
      <c r="H500" s="7"/>
      <c r="J500" s="7"/>
      <c r="K500" s="7"/>
      <c r="L500" s="7"/>
      <c r="M500" s="7"/>
      <c r="N500" s="7"/>
      <c r="O500" s="7"/>
      <c r="P500" s="7"/>
      <c r="Q500" s="7"/>
      <c r="R500" s="7"/>
      <c r="S500" s="7"/>
      <c r="T500" s="7"/>
      <c r="U500" s="7"/>
      <c r="V500" s="7"/>
      <c r="W500" s="7"/>
      <c r="X500" s="7"/>
      <c r="Y500" s="7"/>
    </row>
    <row r="501" spans="1:25" ht="15">
      <c r="A501" s="81"/>
      <c r="B501" s="7"/>
      <c r="C501" s="7"/>
      <c r="D501" s="7"/>
      <c r="E501" s="7"/>
      <c r="F501" s="7"/>
      <c r="G501" s="7"/>
      <c r="H501" s="7"/>
      <c r="J501" s="7"/>
      <c r="K501" s="7"/>
      <c r="L501" s="7"/>
      <c r="M501" s="7"/>
      <c r="N501" s="7"/>
      <c r="O501" s="7"/>
      <c r="P501" s="7"/>
      <c r="Q501" s="7"/>
      <c r="R501" s="7"/>
      <c r="S501" s="7"/>
      <c r="T501" s="7"/>
      <c r="U501" s="7"/>
      <c r="V501" s="7"/>
      <c r="W501" s="7"/>
      <c r="X501" s="7"/>
      <c r="Y501" s="7"/>
    </row>
    <row r="502" spans="1:25" ht="15">
      <c r="A502" s="81"/>
      <c r="B502" s="7"/>
      <c r="C502" s="7"/>
      <c r="D502" s="7"/>
      <c r="E502" s="7"/>
      <c r="F502" s="7"/>
      <c r="G502" s="7"/>
      <c r="H502" s="7"/>
      <c r="J502" s="7"/>
      <c r="K502" s="7"/>
      <c r="L502" s="7"/>
      <c r="M502" s="7"/>
      <c r="N502" s="7"/>
      <c r="O502" s="7"/>
      <c r="P502" s="7"/>
      <c r="Q502" s="7"/>
      <c r="R502" s="7"/>
      <c r="S502" s="7"/>
      <c r="T502" s="7"/>
      <c r="U502" s="7"/>
      <c r="V502" s="7"/>
      <c r="W502" s="7"/>
      <c r="X502" s="7"/>
      <c r="Y502" s="7"/>
    </row>
    <row r="503" spans="1:25" ht="15">
      <c r="A503" s="81"/>
      <c r="B503" s="7"/>
      <c r="C503" s="7"/>
      <c r="D503" s="7"/>
      <c r="E503" s="7"/>
      <c r="F503" s="7"/>
      <c r="G503" s="7"/>
      <c r="H503" s="7"/>
      <c r="J503" s="7"/>
      <c r="K503" s="7"/>
      <c r="L503" s="7"/>
      <c r="M503" s="7"/>
      <c r="N503" s="7"/>
      <c r="O503" s="7"/>
      <c r="P503" s="7"/>
      <c r="Q503" s="7"/>
      <c r="R503" s="7"/>
      <c r="S503" s="7"/>
      <c r="T503" s="7"/>
      <c r="U503" s="7"/>
      <c r="V503" s="7"/>
      <c r="W503" s="7"/>
      <c r="X503" s="7"/>
      <c r="Y503" s="7"/>
    </row>
    <row r="504" spans="1:25" ht="15">
      <c r="A504" s="81"/>
      <c r="B504" s="7"/>
      <c r="C504" s="7"/>
      <c r="D504" s="7"/>
      <c r="E504" s="7"/>
      <c r="F504" s="7"/>
      <c r="G504" s="7"/>
      <c r="H504" s="7"/>
      <c r="J504" s="7"/>
      <c r="K504" s="7"/>
      <c r="L504" s="7"/>
      <c r="M504" s="7"/>
      <c r="N504" s="7"/>
      <c r="O504" s="7"/>
      <c r="P504" s="7"/>
      <c r="Q504" s="7"/>
      <c r="R504" s="7"/>
      <c r="S504" s="7"/>
      <c r="T504" s="7"/>
      <c r="U504" s="7"/>
      <c r="V504" s="7"/>
      <c r="W504" s="7"/>
      <c r="X504" s="7"/>
      <c r="Y504" s="7"/>
    </row>
    <row r="505" spans="1:25" ht="15">
      <c r="A505" s="81"/>
      <c r="B505" s="7"/>
      <c r="C505" s="7"/>
      <c r="D505" s="7"/>
      <c r="E505" s="7"/>
      <c r="F505" s="7"/>
      <c r="G505" s="7"/>
      <c r="H505" s="7"/>
      <c r="J505" s="7"/>
      <c r="K505" s="7"/>
      <c r="L505" s="7"/>
      <c r="M505" s="7"/>
      <c r="N505" s="7"/>
      <c r="O505" s="7"/>
      <c r="P505" s="7"/>
      <c r="Q505" s="7"/>
      <c r="R505" s="7"/>
      <c r="S505" s="7"/>
      <c r="T505" s="7"/>
      <c r="U505" s="7"/>
      <c r="V505" s="7"/>
      <c r="W505" s="7"/>
      <c r="X505" s="7"/>
      <c r="Y505" s="7"/>
    </row>
    <row r="506" spans="1:25" ht="15">
      <c r="A506" s="81"/>
      <c r="B506" s="7"/>
      <c r="C506" s="7"/>
      <c r="D506" s="7"/>
      <c r="E506" s="7"/>
      <c r="F506" s="7"/>
      <c r="G506" s="7"/>
      <c r="H506" s="7"/>
      <c r="J506" s="7"/>
      <c r="K506" s="7"/>
      <c r="L506" s="7"/>
      <c r="M506" s="7"/>
      <c r="N506" s="7"/>
      <c r="O506" s="7"/>
      <c r="P506" s="7"/>
      <c r="Q506" s="7"/>
      <c r="R506" s="7"/>
      <c r="S506" s="7"/>
      <c r="T506" s="7"/>
      <c r="U506" s="7"/>
      <c r="V506" s="7"/>
      <c r="W506" s="7"/>
      <c r="X506" s="7"/>
      <c r="Y506" s="7"/>
    </row>
    <row r="507" spans="1:25" ht="15">
      <c r="A507" s="81"/>
      <c r="B507" s="7"/>
      <c r="C507" s="7"/>
      <c r="D507" s="7"/>
      <c r="E507" s="7"/>
      <c r="F507" s="7"/>
      <c r="G507" s="7"/>
      <c r="H507" s="7"/>
      <c r="J507" s="7"/>
      <c r="K507" s="7"/>
      <c r="L507" s="7"/>
      <c r="M507" s="7"/>
      <c r="N507" s="7"/>
      <c r="O507" s="7"/>
      <c r="P507" s="7"/>
      <c r="Q507" s="7"/>
      <c r="R507" s="7"/>
      <c r="S507" s="7"/>
      <c r="T507" s="7"/>
      <c r="U507" s="7"/>
      <c r="V507" s="7"/>
      <c r="W507" s="7"/>
      <c r="X507" s="7"/>
      <c r="Y507" s="7"/>
    </row>
    <row r="508" spans="1:25" ht="15">
      <c r="A508" s="81"/>
      <c r="B508" s="7"/>
      <c r="C508" s="7"/>
      <c r="D508" s="7"/>
      <c r="E508" s="7"/>
      <c r="F508" s="7"/>
      <c r="G508" s="7"/>
      <c r="H508" s="7"/>
      <c r="J508" s="7"/>
      <c r="K508" s="7"/>
      <c r="L508" s="7"/>
      <c r="M508" s="7"/>
      <c r="N508" s="7"/>
      <c r="O508" s="7"/>
      <c r="P508" s="7"/>
      <c r="Q508" s="7"/>
      <c r="R508" s="7"/>
      <c r="S508" s="7"/>
      <c r="T508" s="7"/>
      <c r="U508" s="7"/>
      <c r="V508" s="7"/>
      <c r="W508" s="7"/>
      <c r="X508" s="7"/>
      <c r="Y508" s="7"/>
    </row>
    <row r="509" spans="1:25" ht="15">
      <c r="A509" s="81"/>
      <c r="B509" s="7"/>
      <c r="C509" s="7"/>
      <c r="D509" s="7"/>
      <c r="E509" s="7"/>
      <c r="F509" s="7"/>
      <c r="G509" s="7"/>
      <c r="H509" s="7"/>
      <c r="J509" s="7"/>
      <c r="K509" s="7"/>
      <c r="L509" s="7"/>
      <c r="M509" s="7"/>
      <c r="N509" s="7"/>
      <c r="O509" s="7"/>
      <c r="P509" s="7"/>
      <c r="Q509" s="7"/>
      <c r="R509" s="7"/>
      <c r="S509" s="7"/>
      <c r="T509" s="7"/>
      <c r="U509" s="7"/>
      <c r="V509" s="7"/>
      <c r="W509" s="7"/>
      <c r="X509" s="7"/>
      <c r="Y509" s="7"/>
    </row>
    <row r="510" spans="1:25" ht="15">
      <c r="A510" s="81"/>
      <c r="B510" s="7"/>
      <c r="C510" s="7"/>
      <c r="D510" s="7"/>
      <c r="E510" s="7"/>
      <c r="F510" s="7"/>
      <c r="G510" s="7"/>
      <c r="H510" s="7"/>
      <c r="J510" s="7"/>
      <c r="K510" s="7"/>
      <c r="L510" s="7"/>
      <c r="M510" s="7"/>
      <c r="N510" s="7"/>
      <c r="O510" s="7"/>
      <c r="P510" s="7"/>
      <c r="Q510" s="7"/>
      <c r="R510" s="7"/>
      <c r="S510" s="7"/>
      <c r="T510" s="7"/>
      <c r="U510" s="7"/>
      <c r="V510" s="7"/>
      <c r="W510" s="7"/>
      <c r="X510" s="7"/>
      <c r="Y510" s="7"/>
    </row>
    <row r="511" spans="1:25" ht="15">
      <c r="A511" s="81"/>
      <c r="B511" s="7"/>
      <c r="C511" s="7"/>
      <c r="D511" s="7"/>
      <c r="E511" s="7"/>
      <c r="F511" s="7"/>
      <c r="G511" s="7"/>
      <c r="H511" s="7"/>
      <c r="J511" s="7"/>
      <c r="K511" s="7"/>
      <c r="L511" s="7"/>
      <c r="M511" s="7"/>
      <c r="N511" s="7"/>
      <c r="O511" s="7"/>
      <c r="P511" s="7"/>
      <c r="Q511" s="7"/>
      <c r="R511" s="7"/>
      <c r="S511" s="7"/>
      <c r="T511" s="7"/>
      <c r="U511" s="7"/>
      <c r="V511" s="7"/>
      <c r="W511" s="7"/>
      <c r="X511" s="7"/>
      <c r="Y511" s="7"/>
    </row>
    <row r="512" spans="1:25" ht="15">
      <c r="A512" s="81"/>
      <c r="B512" s="7"/>
      <c r="C512" s="7"/>
      <c r="D512" s="7"/>
      <c r="E512" s="7"/>
      <c r="F512" s="7"/>
      <c r="G512" s="7"/>
      <c r="H512" s="7"/>
      <c r="J512" s="7"/>
      <c r="K512" s="7"/>
      <c r="L512" s="7"/>
      <c r="M512" s="7"/>
      <c r="N512" s="7"/>
      <c r="O512" s="7"/>
      <c r="P512" s="7"/>
      <c r="Q512" s="7"/>
      <c r="R512" s="7"/>
      <c r="S512" s="7"/>
      <c r="T512" s="7"/>
      <c r="U512" s="7"/>
      <c r="V512" s="7"/>
      <c r="W512" s="7"/>
      <c r="X512" s="7"/>
      <c r="Y512" s="7"/>
    </row>
    <row r="513" spans="1:25" ht="15">
      <c r="A513" s="81"/>
      <c r="B513" s="7"/>
      <c r="C513" s="7"/>
      <c r="D513" s="7"/>
      <c r="E513" s="7"/>
      <c r="F513" s="7"/>
      <c r="G513" s="7"/>
      <c r="H513" s="7"/>
      <c r="J513" s="7"/>
      <c r="K513" s="7"/>
      <c r="L513" s="7"/>
      <c r="M513" s="7"/>
      <c r="N513" s="7"/>
      <c r="O513" s="7"/>
      <c r="P513" s="7"/>
      <c r="Q513" s="7"/>
      <c r="R513" s="7"/>
      <c r="S513" s="7"/>
      <c r="T513" s="7"/>
      <c r="U513" s="7"/>
      <c r="V513" s="7"/>
      <c r="W513" s="7"/>
      <c r="X513" s="7"/>
      <c r="Y513" s="7"/>
    </row>
    <row r="514" spans="1:25" ht="15">
      <c r="A514" s="81"/>
      <c r="B514" s="7"/>
      <c r="C514" s="7"/>
      <c r="D514" s="7"/>
      <c r="E514" s="7"/>
      <c r="F514" s="7"/>
      <c r="G514" s="7"/>
      <c r="H514" s="7"/>
      <c r="J514" s="7"/>
      <c r="K514" s="7"/>
      <c r="L514" s="7"/>
      <c r="M514" s="7"/>
      <c r="N514" s="7"/>
      <c r="O514" s="7"/>
      <c r="P514" s="7"/>
      <c r="Q514" s="7"/>
      <c r="R514" s="7"/>
      <c r="S514" s="7"/>
      <c r="T514" s="7"/>
      <c r="U514" s="7"/>
      <c r="V514" s="7"/>
      <c r="W514" s="7"/>
      <c r="X514" s="7"/>
      <c r="Y514" s="7"/>
    </row>
    <row r="515" spans="1:25" ht="15">
      <c r="A515" s="81"/>
      <c r="B515" s="7"/>
      <c r="C515" s="7"/>
      <c r="D515" s="7"/>
      <c r="E515" s="7"/>
      <c r="F515" s="7"/>
      <c r="G515" s="7"/>
      <c r="H515" s="7"/>
      <c r="J515" s="7"/>
      <c r="K515" s="7"/>
      <c r="L515" s="7"/>
      <c r="M515" s="7"/>
      <c r="N515" s="7"/>
      <c r="O515" s="7"/>
      <c r="P515" s="7"/>
      <c r="Q515" s="7"/>
      <c r="R515" s="7"/>
      <c r="S515" s="7"/>
      <c r="T515" s="7"/>
      <c r="U515" s="7"/>
      <c r="V515" s="7"/>
      <c r="W515" s="7"/>
      <c r="X515" s="7"/>
      <c r="Y515" s="7"/>
    </row>
    <row r="516" spans="1:25" ht="15">
      <c r="A516" s="81"/>
      <c r="B516" s="7"/>
      <c r="C516" s="7"/>
      <c r="D516" s="7"/>
      <c r="E516" s="7"/>
      <c r="F516" s="7"/>
      <c r="G516" s="7"/>
      <c r="H516" s="7"/>
      <c r="J516" s="7"/>
      <c r="K516" s="7"/>
      <c r="L516" s="7"/>
      <c r="M516" s="7"/>
      <c r="N516" s="7"/>
      <c r="O516" s="7"/>
      <c r="P516" s="7"/>
      <c r="Q516" s="7"/>
      <c r="R516" s="7"/>
      <c r="S516" s="7"/>
      <c r="T516" s="7"/>
      <c r="U516" s="7"/>
      <c r="V516" s="7"/>
      <c r="W516" s="7"/>
      <c r="X516" s="7"/>
      <c r="Y516" s="7"/>
    </row>
    <row r="517" spans="1:25" ht="15">
      <c r="A517" s="81"/>
      <c r="B517" s="7"/>
      <c r="C517" s="7"/>
      <c r="D517" s="7"/>
      <c r="E517" s="7"/>
      <c r="F517" s="7"/>
      <c r="G517" s="7"/>
      <c r="H517" s="7"/>
      <c r="J517" s="7"/>
      <c r="K517" s="7"/>
      <c r="L517" s="7"/>
      <c r="M517" s="7"/>
      <c r="N517" s="7"/>
      <c r="O517" s="7"/>
      <c r="P517" s="7"/>
      <c r="Q517" s="7"/>
      <c r="R517" s="7"/>
      <c r="S517" s="7"/>
      <c r="T517" s="7"/>
      <c r="U517" s="7"/>
      <c r="V517" s="7"/>
      <c r="W517" s="7"/>
      <c r="X517" s="7"/>
      <c r="Y517" s="7"/>
    </row>
    <row r="518" spans="1:25" ht="15">
      <c r="A518" s="81"/>
      <c r="B518" s="7"/>
      <c r="C518" s="7"/>
      <c r="D518" s="7"/>
      <c r="E518" s="7"/>
      <c r="F518" s="7"/>
      <c r="G518" s="7"/>
      <c r="H518" s="7"/>
      <c r="J518" s="7"/>
      <c r="K518" s="7"/>
      <c r="L518" s="7"/>
      <c r="M518" s="7"/>
      <c r="N518" s="7"/>
      <c r="O518" s="7"/>
      <c r="P518" s="7"/>
      <c r="Q518" s="7"/>
      <c r="R518" s="7"/>
      <c r="S518" s="7"/>
      <c r="T518" s="7"/>
      <c r="U518" s="7"/>
      <c r="V518" s="7"/>
      <c r="W518" s="7"/>
      <c r="X518" s="7"/>
      <c r="Y518" s="7"/>
    </row>
    <row r="519" spans="1:25" ht="15">
      <c r="A519" s="81"/>
      <c r="B519" s="7"/>
      <c r="C519" s="7"/>
      <c r="D519" s="7"/>
      <c r="E519" s="7"/>
      <c r="F519" s="7"/>
      <c r="G519" s="7"/>
      <c r="H519" s="7"/>
      <c r="J519" s="7"/>
      <c r="K519" s="7"/>
      <c r="L519" s="7"/>
      <c r="M519" s="7"/>
      <c r="N519" s="7"/>
      <c r="O519" s="7"/>
      <c r="P519" s="7"/>
      <c r="Q519" s="7"/>
      <c r="R519" s="7"/>
      <c r="S519" s="7"/>
      <c r="T519" s="7"/>
      <c r="U519" s="7"/>
      <c r="V519" s="7"/>
      <c r="W519" s="7"/>
      <c r="X519" s="7"/>
      <c r="Y519" s="7"/>
    </row>
    <row r="520" spans="1:25" ht="15">
      <c r="A520" s="81"/>
      <c r="B520" s="7"/>
      <c r="C520" s="7"/>
      <c r="D520" s="7"/>
      <c r="E520" s="7"/>
      <c r="F520" s="7"/>
      <c r="G520" s="7"/>
      <c r="H520" s="7"/>
      <c r="J520" s="7"/>
      <c r="K520" s="7"/>
      <c r="L520" s="7"/>
      <c r="M520" s="7"/>
      <c r="N520" s="7"/>
      <c r="O520" s="7"/>
      <c r="P520" s="7"/>
      <c r="Q520" s="7"/>
      <c r="R520" s="7"/>
      <c r="S520" s="7"/>
      <c r="T520" s="7"/>
      <c r="U520" s="7"/>
      <c r="V520" s="7"/>
      <c r="W520" s="7"/>
      <c r="X520" s="7"/>
      <c r="Y520" s="7"/>
    </row>
    <row r="521" spans="1:25" ht="15">
      <c r="A521" s="81"/>
      <c r="B521" s="7"/>
      <c r="C521" s="7"/>
      <c r="D521" s="7"/>
      <c r="E521" s="7"/>
      <c r="F521" s="7"/>
      <c r="G521" s="7"/>
      <c r="H521" s="7"/>
      <c r="J521" s="7"/>
      <c r="K521" s="7"/>
      <c r="L521" s="7"/>
      <c r="M521" s="7"/>
      <c r="N521" s="7"/>
      <c r="O521" s="7"/>
      <c r="P521" s="7"/>
      <c r="Q521" s="7"/>
      <c r="R521" s="7"/>
      <c r="S521" s="7"/>
      <c r="T521" s="7"/>
      <c r="U521" s="7"/>
      <c r="V521" s="7"/>
      <c r="W521" s="7"/>
      <c r="X521" s="7"/>
      <c r="Y521" s="7"/>
    </row>
    <row r="522" spans="1:25" ht="15">
      <c r="A522" s="81"/>
      <c r="B522" s="7"/>
      <c r="C522" s="7"/>
      <c r="D522" s="7"/>
      <c r="E522" s="7"/>
      <c r="F522" s="7"/>
      <c r="G522" s="7"/>
      <c r="H522" s="7"/>
      <c r="J522" s="7"/>
      <c r="K522" s="7"/>
      <c r="L522" s="7"/>
      <c r="M522" s="7"/>
      <c r="N522" s="7"/>
      <c r="O522" s="7"/>
      <c r="P522" s="7"/>
      <c r="Q522" s="7"/>
      <c r="R522" s="7"/>
      <c r="S522" s="7"/>
      <c r="T522" s="7"/>
      <c r="U522" s="7"/>
      <c r="V522" s="7"/>
      <c r="W522" s="7"/>
      <c r="X522" s="7"/>
      <c r="Y522" s="7"/>
    </row>
    <row r="523" spans="1:25" ht="15">
      <c r="A523" s="81"/>
      <c r="B523" s="7"/>
      <c r="C523" s="7"/>
      <c r="D523" s="7"/>
      <c r="E523" s="7"/>
      <c r="F523" s="7"/>
      <c r="G523" s="7"/>
      <c r="H523" s="7"/>
      <c r="J523" s="7"/>
      <c r="K523" s="7"/>
      <c r="L523" s="7"/>
      <c r="M523" s="7"/>
      <c r="N523" s="7"/>
      <c r="O523" s="7"/>
      <c r="P523" s="7"/>
      <c r="Q523" s="7"/>
      <c r="R523" s="7"/>
      <c r="S523" s="7"/>
      <c r="T523" s="7"/>
      <c r="U523" s="7"/>
      <c r="V523" s="7"/>
      <c r="W523" s="7"/>
      <c r="X523" s="7"/>
      <c r="Y523" s="7"/>
    </row>
    <row r="524" spans="1:25" ht="15">
      <c r="A524" s="81"/>
      <c r="B524" s="7"/>
      <c r="C524" s="7"/>
      <c r="D524" s="7"/>
      <c r="E524" s="7"/>
      <c r="F524" s="7"/>
      <c r="G524" s="7"/>
      <c r="H524" s="7"/>
      <c r="J524" s="7"/>
      <c r="K524" s="7"/>
      <c r="L524" s="7"/>
      <c r="M524" s="7"/>
      <c r="N524" s="7"/>
      <c r="O524" s="7"/>
      <c r="P524" s="7"/>
      <c r="Q524" s="7"/>
      <c r="R524" s="7"/>
      <c r="S524" s="7"/>
      <c r="T524" s="7"/>
      <c r="U524" s="7"/>
      <c r="V524" s="7"/>
      <c r="W524" s="7"/>
      <c r="X524" s="7"/>
      <c r="Y524" s="7"/>
    </row>
    <row r="525" spans="1:25" ht="15">
      <c r="A525" s="81"/>
      <c r="B525" s="7"/>
      <c r="C525" s="7"/>
      <c r="D525" s="7"/>
      <c r="E525" s="7"/>
      <c r="F525" s="7"/>
      <c r="G525" s="7"/>
      <c r="H525" s="7"/>
      <c r="J525" s="7"/>
      <c r="K525" s="7"/>
      <c r="L525" s="7"/>
      <c r="M525" s="7"/>
      <c r="N525" s="7"/>
      <c r="O525" s="7"/>
      <c r="P525" s="7"/>
      <c r="Q525" s="7"/>
      <c r="R525" s="7"/>
      <c r="S525" s="7"/>
      <c r="T525" s="7"/>
      <c r="U525" s="7"/>
      <c r="V525" s="7"/>
      <c r="W525" s="7"/>
      <c r="X525" s="7"/>
      <c r="Y525" s="7"/>
    </row>
    <row r="526" spans="1:25" ht="15">
      <c r="A526" s="81"/>
      <c r="B526" s="7"/>
      <c r="C526" s="7"/>
      <c r="D526" s="7"/>
      <c r="E526" s="7"/>
      <c r="F526" s="7"/>
      <c r="G526" s="7"/>
      <c r="H526" s="7"/>
      <c r="J526" s="7"/>
      <c r="K526" s="7"/>
      <c r="L526" s="7"/>
      <c r="M526" s="7"/>
      <c r="N526" s="7"/>
      <c r="O526" s="7"/>
      <c r="P526" s="7"/>
      <c r="Q526" s="7"/>
      <c r="R526" s="7"/>
      <c r="S526" s="7"/>
      <c r="T526" s="7"/>
      <c r="U526" s="7"/>
      <c r="V526" s="7"/>
      <c r="W526" s="7"/>
      <c r="X526" s="7"/>
      <c r="Y526" s="7"/>
    </row>
    <row r="527" spans="1:25" ht="15">
      <c r="A527" s="81"/>
      <c r="B527" s="7"/>
      <c r="C527" s="7"/>
      <c r="D527" s="7"/>
      <c r="E527" s="7"/>
      <c r="F527" s="7"/>
      <c r="G527" s="7"/>
      <c r="H527" s="7"/>
      <c r="J527" s="7"/>
      <c r="K527" s="7"/>
      <c r="L527" s="7"/>
      <c r="M527" s="7"/>
      <c r="N527" s="7"/>
      <c r="O527" s="7"/>
      <c r="P527" s="7"/>
      <c r="Q527" s="7"/>
      <c r="R527" s="7"/>
      <c r="S527" s="7"/>
      <c r="T527" s="7"/>
      <c r="U527" s="7"/>
      <c r="V527" s="7"/>
      <c r="W527" s="7"/>
      <c r="X527" s="7"/>
      <c r="Y527" s="7"/>
    </row>
    <row r="528" spans="1:25" ht="15">
      <c r="A528" s="81"/>
      <c r="B528" s="7"/>
      <c r="C528" s="7"/>
      <c r="D528" s="7"/>
      <c r="E528" s="7"/>
      <c r="F528" s="7"/>
      <c r="G528" s="7"/>
      <c r="H528" s="7"/>
      <c r="J528" s="7"/>
      <c r="K528" s="7"/>
      <c r="L528" s="7"/>
      <c r="M528" s="7"/>
      <c r="N528" s="7"/>
      <c r="O528" s="7"/>
      <c r="P528" s="7"/>
      <c r="Q528" s="7"/>
      <c r="R528" s="7"/>
      <c r="S528" s="7"/>
      <c r="T528" s="7"/>
      <c r="U528" s="7"/>
      <c r="V528" s="7"/>
      <c r="W528" s="7"/>
      <c r="X528" s="7"/>
      <c r="Y528" s="7"/>
    </row>
    <row r="529" spans="1:25" ht="15">
      <c r="A529" s="81"/>
      <c r="B529" s="7"/>
      <c r="C529" s="7"/>
      <c r="D529" s="7"/>
      <c r="E529" s="7"/>
      <c r="F529" s="7"/>
      <c r="G529" s="7"/>
      <c r="H529" s="7"/>
      <c r="J529" s="7"/>
      <c r="K529" s="7"/>
      <c r="L529" s="7"/>
      <c r="M529" s="7"/>
      <c r="N529" s="7"/>
      <c r="O529" s="7"/>
      <c r="P529" s="7"/>
      <c r="Q529" s="7"/>
      <c r="R529" s="7"/>
      <c r="S529" s="7"/>
      <c r="T529" s="7"/>
      <c r="U529" s="7"/>
      <c r="V529" s="7"/>
      <c r="W529" s="7"/>
      <c r="X529" s="7"/>
      <c r="Y529" s="7"/>
    </row>
    <row r="530" spans="1:25" ht="15">
      <c r="A530" s="81"/>
      <c r="B530" s="7"/>
      <c r="C530" s="7"/>
      <c r="D530" s="7"/>
      <c r="E530" s="7"/>
      <c r="F530" s="7"/>
      <c r="G530" s="7"/>
      <c r="H530" s="7"/>
      <c r="J530" s="7"/>
      <c r="K530" s="7"/>
      <c r="L530" s="7"/>
      <c r="M530" s="7"/>
      <c r="N530" s="7"/>
      <c r="O530" s="7"/>
      <c r="P530" s="7"/>
      <c r="Q530" s="7"/>
      <c r="R530" s="7"/>
      <c r="S530" s="7"/>
      <c r="T530" s="7"/>
      <c r="U530" s="7"/>
      <c r="V530" s="7"/>
      <c r="W530" s="7"/>
      <c r="X530" s="7"/>
      <c r="Y530" s="7"/>
    </row>
    <row r="531" spans="1:25" ht="15">
      <c r="A531" s="81"/>
      <c r="B531" s="7"/>
      <c r="C531" s="7"/>
      <c r="D531" s="7"/>
      <c r="E531" s="7"/>
      <c r="F531" s="7"/>
      <c r="G531" s="7"/>
      <c r="H531" s="7"/>
      <c r="J531" s="7"/>
      <c r="K531" s="7"/>
      <c r="L531" s="7"/>
      <c r="M531" s="7"/>
      <c r="N531" s="7"/>
      <c r="O531" s="7"/>
      <c r="P531" s="7"/>
      <c r="Q531" s="7"/>
      <c r="R531" s="7"/>
      <c r="S531" s="7"/>
      <c r="T531" s="7"/>
      <c r="U531" s="7"/>
      <c r="V531" s="7"/>
      <c r="W531" s="7"/>
      <c r="X531" s="7"/>
      <c r="Y531" s="7"/>
    </row>
    <row r="532" spans="1:25" ht="15">
      <c r="A532" s="81"/>
      <c r="B532" s="7"/>
      <c r="C532" s="7"/>
      <c r="D532" s="7"/>
      <c r="E532" s="7"/>
      <c r="F532" s="7"/>
      <c r="G532" s="7"/>
      <c r="H532" s="7"/>
      <c r="J532" s="7"/>
      <c r="K532" s="7"/>
      <c r="L532" s="7"/>
      <c r="M532" s="7"/>
      <c r="N532" s="7"/>
      <c r="O532" s="7"/>
      <c r="P532" s="7"/>
      <c r="Q532" s="7"/>
      <c r="R532" s="7"/>
      <c r="S532" s="7"/>
      <c r="T532" s="7"/>
      <c r="U532" s="7"/>
      <c r="V532" s="7"/>
      <c r="W532" s="7"/>
      <c r="X532" s="7"/>
      <c r="Y532" s="7"/>
    </row>
    <row r="533" spans="1:25" ht="15">
      <c r="A533" s="81"/>
      <c r="B533" s="7"/>
      <c r="C533" s="7"/>
      <c r="D533" s="7"/>
      <c r="E533" s="7"/>
      <c r="F533" s="7"/>
      <c r="G533" s="7"/>
      <c r="H533" s="7"/>
      <c r="J533" s="7"/>
      <c r="K533" s="7"/>
      <c r="L533" s="7"/>
      <c r="M533" s="7"/>
      <c r="N533" s="7"/>
      <c r="O533" s="7"/>
      <c r="P533" s="7"/>
      <c r="Q533" s="7"/>
      <c r="R533" s="7"/>
      <c r="S533" s="7"/>
      <c r="T533" s="7"/>
      <c r="U533" s="7"/>
      <c r="V533" s="7"/>
      <c r="W533" s="7"/>
      <c r="X533" s="7"/>
      <c r="Y533" s="7"/>
    </row>
    <row r="534" spans="1:25" ht="15">
      <c r="A534" s="81"/>
      <c r="B534" s="7"/>
      <c r="C534" s="7"/>
      <c r="D534" s="7"/>
      <c r="E534" s="7"/>
      <c r="F534" s="7"/>
      <c r="G534" s="7"/>
      <c r="H534" s="7"/>
      <c r="J534" s="7"/>
      <c r="K534" s="7"/>
      <c r="L534" s="7"/>
      <c r="M534" s="7"/>
      <c r="N534" s="7"/>
      <c r="O534" s="7"/>
      <c r="P534" s="7"/>
      <c r="Q534" s="7"/>
      <c r="R534" s="7"/>
      <c r="S534" s="7"/>
      <c r="T534" s="7"/>
      <c r="U534" s="7"/>
      <c r="V534" s="7"/>
      <c r="W534" s="7"/>
      <c r="X534" s="7"/>
      <c r="Y534" s="7"/>
    </row>
    <row r="535" spans="1:25" ht="15">
      <c r="A535" s="81"/>
      <c r="B535" s="7"/>
      <c r="C535" s="7"/>
      <c r="D535" s="7"/>
      <c r="E535" s="7"/>
      <c r="F535" s="7"/>
      <c r="G535" s="7"/>
      <c r="H535" s="7"/>
      <c r="J535" s="7"/>
      <c r="K535" s="7"/>
      <c r="L535" s="7"/>
      <c r="M535" s="7"/>
      <c r="N535" s="7"/>
      <c r="O535" s="7"/>
      <c r="P535" s="7"/>
      <c r="Q535" s="7"/>
      <c r="R535" s="7"/>
      <c r="S535" s="7"/>
      <c r="T535" s="7"/>
      <c r="U535" s="7"/>
      <c r="V535" s="7"/>
      <c r="W535" s="7"/>
      <c r="X535" s="7"/>
      <c r="Y535" s="7"/>
    </row>
    <row r="536" spans="1:25" ht="15">
      <c r="A536" s="81"/>
      <c r="B536" s="7"/>
      <c r="C536" s="7"/>
      <c r="D536" s="7"/>
      <c r="E536" s="7"/>
      <c r="F536" s="7"/>
      <c r="G536" s="7"/>
      <c r="H536" s="7"/>
      <c r="J536" s="7"/>
      <c r="K536" s="7"/>
      <c r="L536" s="7"/>
      <c r="M536" s="7"/>
      <c r="N536" s="7"/>
      <c r="O536" s="7"/>
      <c r="P536" s="7"/>
      <c r="Q536" s="7"/>
      <c r="R536" s="7"/>
      <c r="S536" s="7"/>
      <c r="T536" s="7"/>
      <c r="U536" s="7"/>
      <c r="V536" s="7"/>
      <c r="W536" s="7"/>
      <c r="X536" s="7"/>
      <c r="Y536" s="7"/>
    </row>
    <row r="537" spans="1:25" ht="15">
      <c r="A537" s="81"/>
      <c r="B537" s="7"/>
      <c r="C537" s="7"/>
      <c r="D537" s="7"/>
      <c r="E537" s="7"/>
      <c r="F537" s="7"/>
      <c r="G537" s="7"/>
      <c r="H537" s="7"/>
      <c r="J537" s="7"/>
      <c r="K537" s="7"/>
      <c r="L537" s="7"/>
      <c r="M537" s="7"/>
      <c r="N537" s="7"/>
      <c r="O537" s="7"/>
      <c r="P537" s="7"/>
      <c r="Q537" s="7"/>
      <c r="R537" s="7"/>
      <c r="S537" s="7"/>
      <c r="T537" s="7"/>
      <c r="U537" s="7"/>
      <c r="V537" s="7"/>
      <c r="W537" s="7"/>
      <c r="X537" s="7"/>
      <c r="Y537" s="7"/>
    </row>
    <row r="538" spans="1:25" ht="15">
      <c r="A538" s="81"/>
      <c r="B538" s="7"/>
      <c r="C538" s="7"/>
      <c r="D538" s="7"/>
      <c r="E538" s="7"/>
      <c r="F538" s="7"/>
      <c r="G538" s="7"/>
      <c r="H538" s="7"/>
      <c r="J538" s="7"/>
      <c r="K538" s="7"/>
      <c r="L538" s="7"/>
      <c r="M538" s="7"/>
      <c r="N538" s="7"/>
      <c r="O538" s="7"/>
      <c r="P538" s="7"/>
      <c r="Q538" s="7"/>
      <c r="R538" s="7"/>
      <c r="S538" s="7"/>
      <c r="T538" s="7"/>
      <c r="U538" s="7"/>
      <c r="V538" s="7"/>
      <c r="W538" s="7"/>
      <c r="X538" s="7"/>
      <c r="Y538" s="7"/>
    </row>
    <row r="539" spans="1:25" ht="15">
      <c r="A539" s="81"/>
      <c r="B539" s="7"/>
      <c r="C539" s="7"/>
      <c r="D539" s="7"/>
      <c r="E539" s="7"/>
      <c r="F539" s="7"/>
      <c r="G539" s="7"/>
      <c r="H539" s="7"/>
      <c r="J539" s="7"/>
      <c r="K539" s="7"/>
      <c r="L539" s="7"/>
      <c r="M539" s="7"/>
      <c r="N539" s="7"/>
      <c r="O539" s="7"/>
      <c r="P539" s="7"/>
      <c r="Q539" s="7"/>
      <c r="R539" s="7"/>
      <c r="S539" s="7"/>
      <c r="T539" s="7"/>
      <c r="U539" s="7"/>
      <c r="V539" s="7"/>
      <c r="W539" s="7"/>
      <c r="X539" s="7"/>
      <c r="Y539" s="7"/>
    </row>
    <row r="540" spans="1:25" ht="15">
      <c r="A540" s="81"/>
      <c r="B540" s="7"/>
      <c r="C540" s="7"/>
      <c r="D540" s="7"/>
      <c r="E540" s="7"/>
      <c r="F540" s="7"/>
      <c r="G540" s="7"/>
      <c r="H540" s="7"/>
      <c r="J540" s="7"/>
      <c r="K540" s="7"/>
      <c r="L540" s="7"/>
      <c r="M540" s="7"/>
      <c r="N540" s="7"/>
      <c r="O540" s="7"/>
      <c r="P540" s="7"/>
      <c r="Q540" s="7"/>
      <c r="R540" s="7"/>
      <c r="S540" s="7"/>
      <c r="T540" s="7"/>
      <c r="U540" s="7"/>
      <c r="V540" s="7"/>
      <c r="W540" s="7"/>
      <c r="X540" s="7"/>
      <c r="Y540" s="7"/>
    </row>
    <row r="541" spans="1:25" ht="15">
      <c r="A541" s="81"/>
      <c r="B541" s="7"/>
      <c r="C541" s="7"/>
      <c r="D541" s="7"/>
      <c r="E541" s="7"/>
      <c r="F541" s="7"/>
      <c r="G541" s="7"/>
      <c r="H541" s="7"/>
      <c r="J541" s="7"/>
      <c r="K541" s="7"/>
      <c r="L541" s="7"/>
      <c r="M541" s="7"/>
      <c r="N541" s="7"/>
      <c r="O541" s="7"/>
      <c r="P541" s="7"/>
      <c r="Q541" s="7"/>
      <c r="R541" s="7"/>
      <c r="S541" s="7"/>
      <c r="T541" s="7"/>
      <c r="U541" s="7"/>
      <c r="V541" s="7"/>
      <c r="W541" s="7"/>
      <c r="X541" s="7"/>
      <c r="Y541" s="7"/>
    </row>
    <row r="542" spans="1:25" ht="15">
      <c r="A542" s="81"/>
      <c r="B542" s="7"/>
      <c r="C542" s="7"/>
      <c r="D542" s="7"/>
      <c r="E542" s="7"/>
      <c r="F542" s="7"/>
      <c r="G542" s="7"/>
      <c r="H542" s="7"/>
      <c r="J542" s="7"/>
      <c r="K542" s="7"/>
      <c r="L542" s="7"/>
      <c r="M542" s="7"/>
      <c r="N542" s="7"/>
      <c r="O542" s="7"/>
      <c r="P542" s="7"/>
      <c r="Q542" s="7"/>
      <c r="R542" s="7"/>
      <c r="S542" s="7"/>
      <c r="T542" s="7"/>
      <c r="U542" s="7"/>
      <c r="V542" s="7"/>
      <c r="W542" s="7"/>
      <c r="X542" s="7"/>
      <c r="Y542" s="7"/>
    </row>
    <row r="543" spans="1:25" ht="15">
      <c r="A543" s="81"/>
      <c r="B543" s="7"/>
      <c r="C543" s="7"/>
      <c r="D543" s="7"/>
      <c r="E543" s="7"/>
      <c r="F543" s="7"/>
      <c r="G543" s="7"/>
      <c r="H543" s="7"/>
      <c r="J543" s="7"/>
      <c r="K543" s="7"/>
      <c r="L543" s="7"/>
      <c r="M543" s="7"/>
      <c r="N543" s="7"/>
      <c r="O543" s="7"/>
      <c r="P543" s="7"/>
      <c r="Q543" s="7"/>
      <c r="R543" s="7"/>
      <c r="S543" s="7"/>
      <c r="T543" s="7"/>
      <c r="U543" s="7"/>
      <c r="V543" s="7"/>
      <c r="W543" s="7"/>
      <c r="X543" s="7"/>
      <c r="Y543" s="7"/>
    </row>
    <row r="544" spans="1:25" ht="15">
      <c r="A544" s="81"/>
      <c r="B544" s="7"/>
      <c r="C544" s="7"/>
      <c r="D544" s="7"/>
      <c r="E544" s="7"/>
      <c r="F544" s="7"/>
      <c r="G544" s="7"/>
      <c r="H544" s="7"/>
      <c r="J544" s="7"/>
      <c r="K544" s="7"/>
      <c r="L544" s="7"/>
      <c r="M544" s="7"/>
      <c r="N544" s="7"/>
      <c r="O544" s="7"/>
      <c r="P544" s="7"/>
      <c r="Q544" s="7"/>
      <c r="R544" s="7"/>
      <c r="S544" s="7"/>
      <c r="T544" s="7"/>
      <c r="U544" s="7"/>
      <c r="V544" s="7"/>
      <c r="W544" s="7"/>
      <c r="X544" s="7"/>
      <c r="Y544" s="7"/>
    </row>
    <row r="545" spans="1:25" ht="15">
      <c r="A545" s="81"/>
      <c r="B545" s="7"/>
      <c r="C545" s="7"/>
      <c r="D545" s="7"/>
      <c r="E545" s="7"/>
      <c r="F545" s="7"/>
      <c r="G545" s="7"/>
      <c r="H545" s="7"/>
      <c r="J545" s="7"/>
      <c r="K545" s="7"/>
      <c r="L545" s="7"/>
      <c r="M545" s="7"/>
      <c r="N545" s="7"/>
      <c r="O545" s="7"/>
      <c r="P545" s="7"/>
      <c r="Q545" s="7"/>
      <c r="R545" s="7"/>
      <c r="S545" s="7"/>
      <c r="T545" s="7"/>
      <c r="U545" s="7"/>
      <c r="V545" s="7"/>
      <c r="W545" s="7"/>
      <c r="X545" s="7"/>
      <c r="Y545" s="7"/>
    </row>
    <row r="546" spans="1:25" ht="15">
      <c r="A546" s="81"/>
      <c r="B546" s="7"/>
      <c r="C546" s="7"/>
      <c r="D546" s="7"/>
      <c r="E546" s="7"/>
      <c r="F546" s="7"/>
      <c r="G546" s="7"/>
      <c r="H546" s="7"/>
      <c r="J546" s="7"/>
      <c r="K546" s="7"/>
      <c r="L546" s="7"/>
      <c r="M546" s="7"/>
      <c r="N546" s="7"/>
      <c r="O546" s="7"/>
      <c r="P546" s="7"/>
      <c r="Q546" s="7"/>
      <c r="R546" s="7"/>
      <c r="S546" s="7"/>
      <c r="T546" s="7"/>
      <c r="U546" s="7"/>
      <c r="V546" s="7"/>
      <c r="W546" s="7"/>
      <c r="X546" s="7"/>
      <c r="Y546" s="7"/>
    </row>
    <row r="547" spans="1:25" ht="15">
      <c r="A547" s="81"/>
      <c r="B547" s="7"/>
      <c r="C547" s="7"/>
      <c r="D547" s="7"/>
      <c r="E547" s="7"/>
      <c r="F547" s="7"/>
      <c r="G547" s="7"/>
      <c r="H547" s="7"/>
      <c r="J547" s="7"/>
      <c r="K547" s="7"/>
      <c r="L547" s="7"/>
      <c r="M547" s="7"/>
      <c r="N547" s="7"/>
      <c r="O547" s="7"/>
      <c r="P547" s="7"/>
      <c r="Q547" s="7"/>
      <c r="R547" s="7"/>
      <c r="S547" s="7"/>
      <c r="T547" s="7"/>
      <c r="U547" s="7"/>
      <c r="V547" s="7"/>
      <c r="W547" s="7"/>
      <c r="X547" s="7"/>
      <c r="Y547" s="7"/>
    </row>
    <row r="548" spans="1:25" ht="15">
      <c r="A548" s="81"/>
      <c r="B548" s="7"/>
      <c r="C548" s="7"/>
      <c r="D548" s="7"/>
      <c r="E548" s="7"/>
      <c r="F548" s="7"/>
      <c r="G548" s="7"/>
      <c r="H548" s="7"/>
      <c r="J548" s="7"/>
      <c r="K548" s="7"/>
      <c r="L548" s="7"/>
      <c r="M548" s="7"/>
      <c r="N548" s="7"/>
      <c r="O548" s="7"/>
      <c r="P548" s="7"/>
      <c r="Q548" s="7"/>
      <c r="R548" s="7"/>
      <c r="S548" s="7"/>
      <c r="T548" s="7"/>
      <c r="U548" s="7"/>
      <c r="V548" s="7"/>
      <c r="W548" s="7"/>
      <c r="X548" s="7"/>
      <c r="Y548" s="7"/>
    </row>
    <row r="549" spans="1:25" ht="15">
      <c r="A549" s="81"/>
      <c r="B549" s="7"/>
      <c r="C549" s="7"/>
      <c r="D549" s="7"/>
      <c r="E549" s="7"/>
      <c r="F549" s="7"/>
      <c r="G549" s="7"/>
      <c r="H549" s="7"/>
      <c r="J549" s="7"/>
      <c r="K549" s="7"/>
      <c r="L549" s="7"/>
      <c r="M549" s="7"/>
      <c r="N549" s="7"/>
      <c r="O549" s="7"/>
      <c r="P549" s="7"/>
      <c r="Q549" s="7"/>
      <c r="R549" s="7"/>
      <c r="S549" s="7"/>
      <c r="T549" s="7"/>
      <c r="U549" s="7"/>
      <c r="V549" s="7"/>
      <c r="W549" s="7"/>
      <c r="X549" s="7"/>
      <c r="Y549" s="7"/>
    </row>
    <row r="550" spans="1:25" ht="15">
      <c r="A550" s="81"/>
      <c r="B550" s="7"/>
      <c r="C550" s="7"/>
      <c r="D550" s="7"/>
      <c r="E550" s="7"/>
      <c r="F550" s="7"/>
      <c r="G550" s="7"/>
      <c r="H550" s="7"/>
      <c r="J550" s="7"/>
      <c r="K550" s="7"/>
      <c r="L550" s="7"/>
      <c r="M550" s="7"/>
      <c r="N550" s="7"/>
      <c r="O550" s="7"/>
      <c r="P550" s="7"/>
      <c r="Q550" s="7"/>
      <c r="R550" s="7"/>
      <c r="S550" s="7"/>
      <c r="T550" s="7"/>
      <c r="U550" s="7"/>
      <c r="V550" s="7"/>
      <c r="W550" s="7"/>
      <c r="X550" s="7"/>
      <c r="Y550" s="7"/>
    </row>
    <row r="551" spans="1:25" ht="15">
      <c r="A551" s="81"/>
      <c r="B551" s="7"/>
      <c r="C551" s="7"/>
      <c r="D551" s="7"/>
      <c r="E551" s="7"/>
      <c r="F551" s="7"/>
      <c r="G551" s="7"/>
      <c r="H551" s="7"/>
      <c r="J551" s="7"/>
      <c r="K551" s="7"/>
      <c r="L551" s="7"/>
      <c r="M551" s="7"/>
      <c r="N551" s="7"/>
      <c r="O551" s="7"/>
      <c r="P551" s="7"/>
      <c r="Q551" s="7"/>
      <c r="R551" s="7"/>
      <c r="S551" s="7"/>
      <c r="T551" s="7"/>
      <c r="U551" s="7"/>
      <c r="V551" s="7"/>
      <c r="W551" s="7"/>
      <c r="X551" s="7"/>
      <c r="Y551" s="7"/>
    </row>
    <row r="552" spans="1:25" ht="15">
      <c r="A552" s="81"/>
      <c r="B552" s="7"/>
      <c r="C552" s="7"/>
      <c r="D552" s="7"/>
      <c r="E552" s="7"/>
      <c r="F552" s="7"/>
      <c r="G552" s="7"/>
      <c r="H552" s="7"/>
      <c r="J552" s="7"/>
      <c r="K552" s="7"/>
      <c r="L552" s="7"/>
      <c r="M552" s="7"/>
      <c r="N552" s="7"/>
      <c r="O552" s="7"/>
      <c r="P552" s="7"/>
      <c r="Q552" s="7"/>
      <c r="R552" s="7"/>
      <c r="S552" s="7"/>
      <c r="T552" s="7"/>
      <c r="U552" s="7"/>
      <c r="V552" s="7"/>
      <c r="W552" s="7"/>
      <c r="X552" s="7"/>
      <c r="Y552" s="7"/>
    </row>
    <row r="553" spans="1:25" ht="15">
      <c r="A553" s="81"/>
      <c r="B553" s="7"/>
      <c r="C553" s="7"/>
      <c r="D553" s="7"/>
      <c r="E553" s="7"/>
      <c r="F553" s="7"/>
      <c r="G553" s="7"/>
      <c r="H553" s="7"/>
      <c r="J553" s="7"/>
      <c r="K553" s="7"/>
      <c r="L553" s="7"/>
      <c r="M553" s="7"/>
      <c r="N553" s="7"/>
      <c r="O553" s="7"/>
      <c r="P553" s="7"/>
      <c r="Q553" s="7"/>
      <c r="R553" s="7"/>
      <c r="S553" s="7"/>
      <c r="T553" s="7"/>
      <c r="U553" s="7"/>
      <c r="V553" s="7"/>
      <c r="W553" s="7"/>
      <c r="X553" s="7"/>
      <c r="Y553" s="7"/>
    </row>
    <row r="554" spans="1:25" ht="15">
      <c r="A554" s="81"/>
      <c r="B554" s="7"/>
      <c r="C554" s="7"/>
      <c r="D554" s="7"/>
      <c r="E554" s="7"/>
      <c r="F554" s="7"/>
      <c r="G554" s="7"/>
      <c r="H554" s="7"/>
      <c r="J554" s="7"/>
      <c r="K554" s="7"/>
      <c r="L554" s="7"/>
      <c r="M554" s="7"/>
      <c r="N554" s="7"/>
      <c r="O554" s="7"/>
      <c r="P554" s="7"/>
      <c r="Q554" s="7"/>
      <c r="R554" s="7"/>
      <c r="S554" s="7"/>
      <c r="T554" s="7"/>
      <c r="U554" s="7"/>
      <c r="V554" s="7"/>
      <c r="W554" s="7"/>
      <c r="X554" s="7"/>
      <c r="Y554" s="7"/>
    </row>
    <row r="555" spans="1:25" ht="15">
      <c r="A555" s="81"/>
      <c r="B555" s="7"/>
      <c r="C555" s="7"/>
      <c r="D555" s="7"/>
      <c r="E555" s="7"/>
      <c r="F555" s="7"/>
      <c r="G555" s="7"/>
      <c r="H555" s="7"/>
      <c r="J555" s="7"/>
      <c r="K555" s="7"/>
      <c r="L555" s="7"/>
      <c r="M555" s="7"/>
      <c r="N555" s="7"/>
      <c r="O555" s="7"/>
      <c r="P555" s="7"/>
      <c r="Q555" s="7"/>
      <c r="R555" s="7"/>
      <c r="S555" s="7"/>
      <c r="T555" s="7"/>
      <c r="U555" s="7"/>
      <c r="V555" s="7"/>
      <c r="W555" s="7"/>
      <c r="X555" s="7"/>
      <c r="Y555" s="7"/>
    </row>
    <row r="556" spans="1:25" ht="15">
      <c r="A556" s="81"/>
      <c r="B556" s="7"/>
      <c r="C556" s="7"/>
      <c r="D556" s="7"/>
      <c r="E556" s="7"/>
      <c r="F556" s="7"/>
      <c r="G556" s="7"/>
      <c r="H556" s="7"/>
      <c r="J556" s="7"/>
      <c r="K556" s="7"/>
      <c r="L556" s="7"/>
      <c r="M556" s="7"/>
      <c r="N556" s="7"/>
      <c r="O556" s="7"/>
      <c r="P556" s="7"/>
      <c r="Q556" s="7"/>
      <c r="R556" s="7"/>
      <c r="S556" s="7"/>
      <c r="T556" s="7"/>
      <c r="U556" s="7"/>
      <c r="V556" s="7"/>
      <c r="W556" s="7"/>
      <c r="X556" s="7"/>
      <c r="Y556" s="7"/>
    </row>
    <row r="557" spans="1:25" ht="15">
      <c r="A557" s="81"/>
      <c r="B557" s="7"/>
      <c r="C557" s="7"/>
      <c r="D557" s="7"/>
      <c r="E557" s="7"/>
      <c r="F557" s="7"/>
      <c r="G557" s="7"/>
      <c r="H557" s="7"/>
      <c r="J557" s="7"/>
      <c r="K557" s="7"/>
      <c r="L557" s="7"/>
      <c r="M557" s="7"/>
      <c r="N557" s="7"/>
      <c r="O557" s="7"/>
      <c r="P557" s="7"/>
      <c r="Q557" s="7"/>
      <c r="R557" s="7"/>
      <c r="S557" s="7"/>
      <c r="T557" s="7"/>
      <c r="U557" s="7"/>
      <c r="V557" s="7"/>
      <c r="W557" s="7"/>
      <c r="X557" s="7"/>
      <c r="Y557" s="7"/>
    </row>
    <row r="558" spans="1:25" ht="15">
      <c r="A558" s="81"/>
      <c r="B558" s="7"/>
      <c r="C558" s="7"/>
      <c r="D558" s="7"/>
      <c r="E558" s="7"/>
      <c r="F558" s="7"/>
      <c r="G558" s="7"/>
      <c r="H558" s="7"/>
      <c r="J558" s="7"/>
      <c r="K558" s="7"/>
      <c r="L558" s="7"/>
      <c r="M558" s="7"/>
      <c r="N558" s="7"/>
      <c r="O558" s="7"/>
      <c r="P558" s="7"/>
      <c r="Q558" s="7"/>
      <c r="R558" s="7"/>
      <c r="S558" s="7"/>
      <c r="T558" s="7"/>
      <c r="U558" s="7"/>
      <c r="V558" s="7"/>
      <c r="W558" s="7"/>
      <c r="X558" s="7"/>
      <c r="Y558" s="7"/>
    </row>
    <row r="559" spans="1:25" ht="15">
      <c r="A559" s="81"/>
      <c r="B559" s="7"/>
      <c r="C559" s="7"/>
      <c r="D559" s="7"/>
      <c r="E559" s="7"/>
      <c r="F559" s="7"/>
      <c r="G559" s="7"/>
      <c r="H559" s="7"/>
      <c r="J559" s="7"/>
      <c r="K559" s="7"/>
      <c r="L559" s="7"/>
      <c r="M559" s="7"/>
      <c r="N559" s="7"/>
      <c r="O559" s="7"/>
      <c r="P559" s="7"/>
      <c r="Q559" s="7"/>
      <c r="R559" s="7"/>
      <c r="S559" s="7"/>
      <c r="T559" s="7"/>
      <c r="U559" s="7"/>
      <c r="V559" s="7"/>
      <c r="W559" s="7"/>
      <c r="X559" s="7"/>
      <c r="Y559" s="7"/>
    </row>
    <row r="560" spans="1:25" ht="15">
      <c r="A560" s="81"/>
      <c r="B560" s="7"/>
      <c r="C560" s="7"/>
      <c r="D560" s="7"/>
      <c r="E560" s="7"/>
      <c r="F560" s="7"/>
      <c r="G560" s="7"/>
      <c r="H560" s="7"/>
      <c r="J560" s="7"/>
      <c r="K560" s="7"/>
      <c r="L560" s="7"/>
      <c r="M560" s="7"/>
      <c r="N560" s="7"/>
      <c r="O560" s="7"/>
      <c r="P560" s="7"/>
      <c r="Q560" s="7"/>
      <c r="R560" s="7"/>
      <c r="S560" s="7"/>
      <c r="T560" s="7"/>
      <c r="U560" s="7"/>
      <c r="V560" s="7"/>
      <c r="W560" s="7"/>
      <c r="X560" s="7"/>
      <c r="Y560" s="7"/>
    </row>
    <row r="561" spans="1:25" ht="15">
      <c r="A561" s="81"/>
      <c r="B561" s="7"/>
      <c r="C561" s="7"/>
      <c r="D561" s="7"/>
      <c r="E561" s="7"/>
      <c r="F561" s="7"/>
      <c r="G561" s="7"/>
      <c r="H561" s="7"/>
      <c r="J561" s="7"/>
      <c r="K561" s="7"/>
      <c r="L561" s="7"/>
      <c r="M561" s="7"/>
      <c r="N561" s="7"/>
      <c r="O561" s="7"/>
      <c r="P561" s="7"/>
      <c r="Q561" s="7"/>
      <c r="R561" s="7"/>
      <c r="S561" s="7"/>
      <c r="T561" s="7"/>
      <c r="U561" s="7"/>
      <c r="V561" s="7"/>
      <c r="W561" s="7"/>
      <c r="X561" s="7"/>
      <c r="Y561" s="7"/>
    </row>
    <row r="562" spans="1:25" ht="15">
      <c r="A562" s="81"/>
      <c r="B562" s="7"/>
      <c r="C562" s="7"/>
      <c r="D562" s="7"/>
      <c r="E562" s="7"/>
      <c r="F562" s="7"/>
      <c r="G562" s="7"/>
      <c r="H562" s="7"/>
      <c r="J562" s="7"/>
      <c r="K562" s="7"/>
      <c r="L562" s="7"/>
      <c r="M562" s="7"/>
      <c r="N562" s="7"/>
      <c r="O562" s="7"/>
      <c r="P562" s="7"/>
      <c r="Q562" s="7"/>
      <c r="R562" s="7"/>
      <c r="S562" s="7"/>
      <c r="T562" s="7"/>
      <c r="U562" s="7"/>
      <c r="V562" s="7"/>
      <c r="W562" s="7"/>
      <c r="X562" s="7"/>
      <c r="Y562" s="7"/>
    </row>
    <row r="563" spans="1:25" ht="15">
      <c r="A563" s="81"/>
      <c r="B563" s="7"/>
      <c r="C563" s="7"/>
      <c r="D563" s="7"/>
      <c r="E563" s="7"/>
      <c r="F563" s="7"/>
      <c r="G563" s="7"/>
      <c r="H563" s="7"/>
      <c r="J563" s="7"/>
      <c r="K563" s="7"/>
      <c r="L563" s="7"/>
      <c r="M563" s="7"/>
      <c r="N563" s="7"/>
      <c r="O563" s="7"/>
      <c r="P563" s="7"/>
      <c r="Q563" s="7"/>
      <c r="R563" s="7"/>
      <c r="S563" s="7"/>
      <c r="T563" s="7"/>
      <c r="U563" s="7"/>
      <c r="V563" s="7"/>
      <c r="W563" s="7"/>
      <c r="X563" s="7"/>
      <c r="Y563" s="7"/>
    </row>
    <row r="564" spans="1:25" ht="15">
      <c r="A564" s="81"/>
      <c r="B564" s="7"/>
      <c r="C564" s="7"/>
      <c r="D564" s="7"/>
      <c r="E564" s="7"/>
      <c r="F564" s="7"/>
      <c r="G564" s="7"/>
      <c r="H564" s="7"/>
      <c r="J564" s="7"/>
      <c r="K564" s="7"/>
      <c r="L564" s="7"/>
      <c r="M564" s="7"/>
      <c r="N564" s="7"/>
      <c r="O564" s="7"/>
      <c r="P564" s="7"/>
      <c r="Q564" s="7"/>
      <c r="R564" s="7"/>
      <c r="S564" s="7"/>
      <c r="T564" s="7"/>
      <c r="U564" s="7"/>
      <c r="V564" s="7"/>
      <c r="W564" s="7"/>
      <c r="X564" s="7"/>
      <c r="Y564" s="7"/>
    </row>
    <row r="565" spans="1:25" ht="15">
      <c r="A565" s="81"/>
      <c r="B565" s="7"/>
      <c r="C565" s="7"/>
      <c r="D565" s="7"/>
      <c r="E565" s="7"/>
      <c r="F565" s="7"/>
      <c r="G565" s="7"/>
      <c r="H565" s="7"/>
      <c r="J565" s="7"/>
      <c r="K565" s="7"/>
      <c r="L565" s="7"/>
      <c r="M565" s="7"/>
      <c r="N565" s="7"/>
      <c r="O565" s="7"/>
      <c r="P565" s="7"/>
      <c r="Q565" s="7"/>
      <c r="R565" s="7"/>
      <c r="S565" s="7"/>
      <c r="T565" s="7"/>
      <c r="U565" s="7"/>
      <c r="V565" s="7"/>
      <c r="W565" s="7"/>
      <c r="X565" s="7"/>
      <c r="Y565" s="7"/>
    </row>
    <row r="566" spans="1:25" ht="15">
      <c r="A566" s="81"/>
      <c r="B566" s="7"/>
      <c r="C566" s="7"/>
      <c r="D566" s="7"/>
      <c r="E566" s="7"/>
      <c r="F566" s="7"/>
      <c r="G566" s="7"/>
      <c r="H566" s="7"/>
      <c r="J566" s="7"/>
      <c r="K566" s="7"/>
      <c r="L566" s="7"/>
      <c r="M566" s="7"/>
      <c r="N566" s="7"/>
      <c r="O566" s="7"/>
      <c r="P566" s="7"/>
      <c r="Q566" s="7"/>
      <c r="R566" s="7"/>
      <c r="S566" s="7"/>
      <c r="T566" s="7"/>
      <c r="U566" s="7"/>
      <c r="V566" s="7"/>
      <c r="W566" s="7"/>
      <c r="X566" s="7"/>
      <c r="Y566" s="7"/>
    </row>
    <row r="567" spans="1:25" ht="15">
      <c r="A567" s="81"/>
      <c r="B567" s="7"/>
      <c r="C567" s="7"/>
      <c r="D567" s="7"/>
      <c r="E567" s="7"/>
      <c r="F567" s="7"/>
      <c r="G567" s="7"/>
      <c r="H567" s="7"/>
      <c r="J567" s="7"/>
      <c r="K567" s="7"/>
      <c r="L567" s="7"/>
      <c r="M567" s="7"/>
      <c r="N567" s="7"/>
      <c r="O567" s="7"/>
      <c r="P567" s="7"/>
      <c r="Q567" s="7"/>
      <c r="R567" s="7"/>
      <c r="S567" s="7"/>
      <c r="T567" s="7"/>
      <c r="U567" s="7"/>
      <c r="V567" s="7"/>
      <c r="W567" s="7"/>
      <c r="X567" s="7"/>
      <c r="Y567" s="7"/>
    </row>
    <row r="568" spans="1:25" ht="15">
      <c r="A568" s="81"/>
      <c r="B568" s="7"/>
      <c r="C568" s="7"/>
      <c r="D568" s="7"/>
      <c r="E568" s="7"/>
      <c r="F568" s="7"/>
      <c r="G568" s="7"/>
      <c r="H568" s="7"/>
      <c r="J568" s="7"/>
      <c r="K568" s="7"/>
      <c r="L568" s="7"/>
      <c r="M568" s="7"/>
      <c r="N568" s="7"/>
      <c r="O568" s="7"/>
      <c r="P568" s="7"/>
      <c r="Q568" s="7"/>
      <c r="R568" s="7"/>
      <c r="S568" s="7"/>
      <c r="T568" s="7"/>
      <c r="U568" s="7"/>
      <c r="V568" s="7"/>
      <c r="W568" s="7"/>
      <c r="X568" s="7"/>
      <c r="Y568" s="7"/>
    </row>
    <row r="569" spans="1:25" ht="15">
      <c r="A569" s="81"/>
      <c r="B569" s="7"/>
      <c r="C569" s="7"/>
      <c r="D569" s="7"/>
      <c r="E569" s="7"/>
      <c r="F569" s="7"/>
      <c r="G569" s="7"/>
      <c r="H569" s="7"/>
      <c r="J569" s="7"/>
      <c r="K569" s="7"/>
      <c r="L569" s="7"/>
      <c r="M569" s="7"/>
      <c r="N569" s="7"/>
      <c r="O569" s="7"/>
      <c r="P569" s="7"/>
      <c r="Q569" s="7"/>
      <c r="R569" s="7"/>
      <c r="S569" s="7"/>
      <c r="T569" s="7"/>
      <c r="U569" s="7"/>
      <c r="V569" s="7"/>
      <c r="W569" s="7"/>
      <c r="X569" s="7"/>
      <c r="Y569" s="7"/>
    </row>
    <row r="570" spans="1:25" ht="15">
      <c r="A570" s="81"/>
      <c r="B570" s="7"/>
      <c r="C570" s="7"/>
      <c r="D570" s="7"/>
      <c r="E570" s="7"/>
      <c r="F570" s="7"/>
      <c r="G570" s="7"/>
      <c r="H570" s="7"/>
      <c r="J570" s="7"/>
      <c r="K570" s="7"/>
      <c r="L570" s="7"/>
      <c r="M570" s="7"/>
      <c r="N570" s="7"/>
      <c r="O570" s="7"/>
      <c r="P570" s="7"/>
      <c r="Q570" s="7"/>
      <c r="R570" s="7"/>
      <c r="S570" s="7"/>
      <c r="T570" s="7"/>
      <c r="U570" s="7"/>
      <c r="V570" s="7"/>
      <c r="W570" s="7"/>
      <c r="X570" s="7"/>
      <c r="Y570" s="7"/>
    </row>
    <row r="571" spans="1:25" ht="15">
      <c r="A571" s="81"/>
      <c r="B571" s="7"/>
      <c r="C571" s="7"/>
      <c r="D571" s="7"/>
      <c r="E571" s="7"/>
      <c r="F571" s="7"/>
      <c r="G571" s="7"/>
      <c r="H571" s="7"/>
      <c r="J571" s="7"/>
      <c r="K571" s="7"/>
      <c r="L571" s="7"/>
      <c r="M571" s="7"/>
      <c r="N571" s="7"/>
      <c r="O571" s="7"/>
      <c r="P571" s="7"/>
      <c r="Q571" s="7"/>
      <c r="R571" s="7"/>
      <c r="S571" s="7"/>
      <c r="T571" s="7"/>
      <c r="U571" s="7"/>
      <c r="V571" s="7"/>
      <c r="W571" s="7"/>
      <c r="X571" s="7"/>
      <c r="Y571" s="7"/>
    </row>
    <row r="572" spans="1:25" ht="15">
      <c r="A572" s="81"/>
      <c r="B572" s="7"/>
      <c r="C572" s="7"/>
      <c r="D572" s="7"/>
      <c r="E572" s="7"/>
      <c r="F572" s="7"/>
      <c r="G572" s="7"/>
      <c r="H572" s="7"/>
      <c r="J572" s="7"/>
      <c r="K572" s="7"/>
      <c r="L572" s="7"/>
      <c r="M572" s="7"/>
      <c r="N572" s="7"/>
      <c r="O572" s="7"/>
      <c r="P572" s="7"/>
      <c r="Q572" s="7"/>
      <c r="R572" s="7"/>
      <c r="S572" s="7"/>
      <c r="T572" s="7"/>
      <c r="U572" s="7"/>
      <c r="V572" s="7"/>
      <c r="W572" s="7"/>
      <c r="X572" s="7"/>
      <c r="Y572" s="7"/>
    </row>
    <row r="573" spans="1:25" ht="15">
      <c r="A573" s="81"/>
      <c r="B573" s="7"/>
      <c r="C573" s="7"/>
      <c r="D573" s="7"/>
      <c r="E573" s="7"/>
      <c r="F573" s="7"/>
      <c r="G573" s="7"/>
      <c r="H573" s="7"/>
      <c r="J573" s="7"/>
      <c r="K573" s="7"/>
      <c r="L573" s="7"/>
      <c r="M573" s="7"/>
      <c r="N573" s="7"/>
      <c r="O573" s="7"/>
      <c r="P573" s="7"/>
      <c r="Q573" s="7"/>
      <c r="R573" s="7"/>
      <c r="S573" s="7"/>
      <c r="T573" s="7"/>
      <c r="U573" s="7"/>
      <c r="V573" s="7"/>
      <c r="W573" s="7"/>
      <c r="X573" s="7"/>
      <c r="Y573" s="7"/>
    </row>
    <row r="574" spans="1:25" ht="15">
      <c r="A574" s="81"/>
      <c r="B574" s="7"/>
      <c r="C574" s="7"/>
      <c r="D574" s="7"/>
      <c r="E574" s="7"/>
      <c r="F574" s="7"/>
      <c r="G574" s="7"/>
      <c r="H574" s="7"/>
      <c r="J574" s="7"/>
      <c r="K574" s="7"/>
      <c r="L574" s="7"/>
      <c r="M574" s="7"/>
      <c r="N574" s="7"/>
      <c r="O574" s="7"/>
      <c r="P574" s="7"/>
      <c r="Q574" s="7"/>
      <c r="R574" s="7"/>
      <c r="S574" s="7"/>
      <c r="T574" s="7"/>
      <c r="U574" s="7"/>
      <c r="V574" s="7"/>
      <c r="W574" s="7"/>
      <c r="X574" s="7"/>
      <c r="Y574" s="7"/>
    </row>
    <row r="575" spans="1:25" ht="15">
      <c r="A575" s="81"/>
      <c r="B575" s="7"/>
      <c r="C575" s="7"/>
      <c r="D575" s="7"/>
      <c r="E575" s="7"/>
      <c r="F575" s="7"/>
      <c r="G575" s="7"/>
      <c r="H575" s="7"/>
      <c r="J575" s="7"/>
      <c r="K575" s="7"/>
      <c r="L575" s="7"/>
      <c r="M575" s="7"/>
      <c r="N575" s="7"/>
      <c r="O575" s="7"/>
      <c r="P575" s="7"/>
      <c r="Q575" s="7"/>
      <c r="R575" s="7"/>
      <c r="S575" s="7"/>
      <c r="T575" s="7"/>
      <c r="U575" s="7"/>
      <c r="V575" s="7"/>
      <c r="W575" s="7"/>
      <c r="X575" s="7"/>
      <c r="Y575" s="7"/>
    </row>
    <row r="576" spans="1:25" ht="15">
      <c r="A576" s="81"/>
      <c r="B576" s="7"/>
      <c r="C576" s="7"/>
      <c r="D576" s="7"/>
      <c r="E576" s="7"/>
      <c r="F576" s="7"/>
      <c r="G576" s="7"/>
      <c r="H576" s="7"/>
      <c r="J576" s="7"/>
      <c r="K576" s="7"/>
      <c r="L576" s="7"/>
      <c r="M576" s="7"/>
      <c r="N576" s="7"/>
      <c r="O576" s="7"/>
      <c r="P576" s="7"/>
      <c r="Q576" s="7"/>
      <c r="R576" s="7"/>
      <c r="S576" s="7"/>
      <c r="T576" s="7"/>
      <c r="U576" s="7"/>
      <c r="V576" s="7"/>
      <c r="W576" s="7"/>
      <c r="X576" s="7"/>
      <c r="Y576" s="7"/>
    </row>
    <row r="577" spans="1:25" ht="15">
      <c r="A577" s="81"/>
      <c r="B577" s="7"/>
      <c r="C577" s="7"/>
      <c r="D577" s="7"/>
      <c r="E577" s="7"/>
      <c r="F577" s="7"/>
      <c r="G577" s="7"/>
      <c r="H577" s="7"/>
      <c r="J577" s="7"/>
      <c r="K577" s="7"/>
      <c r="L577" s="7"/>
      <c r="M577" s="7"/>
      <c r="N577" s="7"/>
      <c r="O577" s="7"/>
      <c r="P577" s="7"/>
      <c r="Q577" s="7"/>
      <c r="R577" s="7"/>
      <c r="S577" s="7"/>
      <c r="T577" s="7"/>
      <c r="U577" s="7"/>
      <c r="V577" s="7"/>
      <c r="W577" s="7"/>
      <c r="X577" s="7"/>
      <c r="Y577" s="7"/>
    </row>
    <row r="578" spans="1:25" ht="15">
      <c r="A578" s="81"/>
      <c r="B578" s="7"/>
      <c r="C578" s="7"/>
      <c r="D578" s="7"/>
      <c r="E578" s="7"/>
      <c r="F578" s="7"/>
      <c r="G578" s="7"/>
      <c r="H578" s="7"/>
      <c r="J578" s="7"/>
      <c r="K578" s="7"/>
      <c r="L578" s="7"/>
      <c r="M578" s="7"/>
      <c r="N578" s="7"/>
      <c r="O578" s="7"/>
      <c r="P578" s="7"/>
      <c r="Q578" s="7"/>
      <c r="R578" s="7"/>
      <c r="S578" s="7"/>
      <c r="T578" s="7"/>
      <c r="U578" s="7"/>
      <c r="V578" s="7"/>
      <c r="W578" s="7"/>
      <c r="X578" s="7"/>
      <c r="Y578" s="7"/>
    </row>
    <row r="579" spans="1:25" ht="15">
      <c r="A579" s="81"/>
      <c r="B579" s="7"/>
      <c r="C579" s="7"/>
      <c r="D579" s="7"/>
      <c r="E579" s="7"/>
      <c r="F579" s="7"/>
      <c r="G579" s="7"/>
      <c r="H579" s="7"/>
      <c r="J579" s="7"/>
      <c r="K579" s="7"/>
      <c r="L579" s="7"/>
      <c r="M579" s="7"/>
      <c r="N579" s="7"/>
      <c r="O579" s="7"/>
      <c r="P579" s="7"/>
      <c r="Q579" s="7"/>
      <c r="R579" s="7"/>
      <c r="S579" s="7"/>
      <c r="T579" s="7"/>
      <c r="U579" s="7"/>
      <c r="V579" s="7"/>
      <c r="W579" s="7"/>
      <c r="X579" s="7"/>
      <c r="Y579" s="7"/>
    </row>
    <row r="580" spans="1:25" ht="15">
      <c r="A580" s="81"/>
      <c r="B580" s="7"/>
      <c r="C580" s="7"/>
      <c r="D580" s="7"/>
      <c r="E580" s="7"/>
      <c r="F580" s="7"/>
      <c r="G580" s="7"/>
      <c r="H580" s="7"/>
      <c r="J580" s="7"/>
      <c r="K580" s="7"/>
      <c r="L580" s="7"/>
      <c r="M580" s="7"/>
      <c r="N580" s="7"/>
      <c r="O580" s="7"/>
      <c r="P580" s="7"/>
      <c r="Q580" s="7"/>
      <c r="R580" s="7"/>
      <c r="S580" s="7"/>
      <c r="T580" s="7"/>
      <c r="U580" s="7"/>
      <c r="V580" s="7"/>
      <c r="W580" s="7"/>
      <c r="X580" s="7"/>
      <c r="Y580" s="7"/>
    </row>
    <row r="581" spans="1:25" ht="15">
      <c r="A581" s="81"/>
      <c r="B581" s="7"/>
      <c r="C581" s="7"/>
      <c r="D581" s="7"/>
      <c r="E581" s="7"/>
      <c r="F581" s="7"/>
      <c r="G581" s="7"/>
      <c r="H581" s="7"/>
      <c r="J581" s="7"/>
      <c r="K581" s="7"/>
      <c r="L581" s="7"/>
      <c r="M581" s="7"/>
      <c r="N581" s="7"/>
      <c r="O581" s="7"/>
      <c r="P581" s="7"/>
      <c r="Q581" s="7"/>
      <c r="R581" s="7"/>
      <c r="S581" s="7"/>
      <c r="T581" s="7"/>
      <c r="U581" s="7"/>
      <c r="V581" s="7"/>
      <c r="W581" s="7"/>
      <c r="X581" s="7"/>
      <c r="Y581" s="7"/>
    </row>
    <row r="582" spans="1:25" ht="15">
      <c r="A582" s="81"/>
      <c r="B582" s="7"/>
      <c r="C582" s="7"/>
      <c r="D582" s="7"/>
      <c r="E582" s="7"/>
      <c r="F582" s="7"/>
      <c r="G582" s="7"/>
      <c r="H582" s="7"/>
      <c r="J582" s="7"/>
      <c r="K582" s="7"/>
      <c r="L582" s="7"/>
      <c r="M582" s="7"/>
      <c r="N582" s="7"/>
      <c r="O582" s="7"/>
      <c r="P582" s="7"/>
      <c r="Q582" s="7"/>
      <c r="R582" s="7"/>
      <c r="S582" s="7"/>
      <c r="T582" s="7"/>
      <c r="U582" s="7"/>
      <c r="V582" s="7"/>
      <c r="W582" s="7"/>
      <c r="X582" s="7"/>
      <c r="Y582" s="7"/>
    </row>
    <row r="583" spans="1:25" ht="15">
      <c r="A583" s="81"/>
      <c r="B583" s="7"/>
      <c r="C583" s="7"/>
      <c r="D583" s="7"/>
      <c r="E583" s="7"/>
      <c r="F583" s="7"/>
      <c r="G583" s="7"/>
      <c r="H583" s="7"/>
      <c r="J583" s="7"/>
      <c r="K583" s="7"/>
      <c r="L583" s="7"/>
      <c r="M583" s="7"/>
      <c r="N583" s="7"/>
      <c r="O583" s="7"/>
      <c r="P583" s="7"/>
      <c r="Q583" s="7"/>
      <c r="R583" s="7"/>
      <c r="S583" s="7"/>
      <c r="T583" s="7"/>
      <c r="U583" s="7"/>
      <c r="V583" s="7"/>
      <c r="W583" s="7"/>
      <c r="X583" s="7"/>
      <c r="Y583" s="7"/>
    </row>
    <row r="584" spans="1:25" ht="15">
      <c r="A584" s="81"/>
      <c r="B584" s="7"/>
      <c r="C584" s="7"/>
      <c r="D584" s="7"/>
      <c r="E584" s="7"/>
      <c r="F584" s="7"/>
      <c r="G584" s="7"/>
      <c r="H584" s="7"/>
      <c r="J584" s="7"/>
      <c r="K584" s="7"/>
      <c r="L584" s="7"/>
      <c r="M584" s="7"/>
      <c r="N584" s="7"/>
      <c r="O584" s="7"/>
      <c r="P584" s="7"/>
      <c r="Q584" s="7"/>
      <c r="R584" s="7"/>
      <c r="S584" s="7"/>
      <c r="T584" s="7"/>
      <c r="U584" s="7"/>
      <c r="V584" s="7"/>
      <c r="W584" s="7"/>
      <c r="X584" s="7"/>
      <c r="Y584" s="7"/>
    </row>
    <row r="585" spans="1:25" ht="15">
      <c r="A585" s="81"/>
      <c r="B585" s="7"/>
      <c r="C585" s="7"/>
      <c r="D585" s="7"/>
      <c r="E585" s="7"/>
      <c r="F585" s="7"/>
      <c r="G585" s="7"/>
      <c r="H585" s="7"/>
      <c r="J585" s="7"/>
      <c r="K585" s="7"/>
      <c r="L585" s="7"/>
      <c r="M585" s="7"/>
      <c r="N585" s="7"/>
      <c r="O585" s="7"/>
      <c r="P585" s="7"/>
      <c r="Q585" s="7"/>
      <c r="R585" s="7"/>
      <c r="S585" s="7"/>
      <c r="T585" s="7"/>
      <c r="U585" s="7"/>
      <c r="V585" s="7"/>
      <c r="W585" s="7"/>
      <c r="X585" s="7"/>
      <c r="Y585" s="7"/>
    </row>
    <row r="586" spans="1:25" ht="15">
      <c r="A586" s="81"/>
      <c r="B586" s="7"/>
      <c r="C586" s="7"/>
      <c r="D586" s="7"/>
      <c r="E586" s="7"/>
      <c r="F586" s="7"/>
      <c r="G586" s="7"/>
      <c r="H586" s="7"/>
      <c r="J586" s="7"/>
      <c r="K586" s="7"/>
      <c r="L586" s="7"/>
      <c r="M586" s="7"/>
      <c r="N586" s="7"/>
      <c r="O586" s="7"/>
      <c r="P586" s="7"/>
      <c r="Q586" s="7"/>
      <c r="R586" s="7"/>
      <c r="S586" s="7"/>
      <c r="T586" s="7"/>
      <c r="U586" s="7"/>
      <c r="V586" s="7"/>
      <c r="W586" s="7"/>
      <c r="X586" s="7"/>
      <c r="Y586" s="7"/>
    </row>
    <row r="587" spans="1:25" ht="15">
      <c r="A587" s="81"/>
      <c r="B587" s="7"/>
      <c r="C587" s="7"/>
      <c r="D587" s="7"/>
      <c r="E587" s="7"/>
      <c r="F587" s="7"/>
      <c r="G587" s="7"/>
      <c r="H587" s="7"/>
      <c r="J587" s="7"/>
      <c r="K587" s="7"/>
      <c r="L587" s="7"/>
      <c r="M587" s="7"/>
      <c r="N587" s="7"/>
      <c r="O587" s="7"/>
      <c r="P587" s="7"/>
      <c r="Q587" s="7"/>
      <c r="R587" s="7"/>
      <c r="S587" s="7"/>
      <c r="T587" s="7"/>
      <c r="U587" s="7"/>
      <c r="V587" s="7"/>
      <c r="W587" s="7"/>
      <c r="X587" s="7"/>
      <c r="Y587" s="7"/>
    </row>
    <row r="588" spans="1:25" ht="15">
      <c r="A588" s="81"/>
      <c r="B588" s="7"/>
      <c r="C588" s="7"/>
      <c r="D588" s="7"/>
      <c r="E588" s="7"/>
      <c r="F588" s="7"/>
      <c r="G588" s="7"/>
      <c r="H588" s="7"/>
      <c r="J588" s="7"/>
      <c r="K588" s="7"/>
      <c r="L588" s="7"/>
      <c r="M588" s="7"/>
      <c r="N588" s="7"/>
      <c r="O588" s="7"/>
      <c r="P588" s="7"/>
      <c r="Q588" s="7"/>
      <c r="R588" s="7"/>
      <c r="S588" s="7"/>
      <c r="T588" s="7"/>
      <c r="U588" s="7"/>
      <c r="V588" s="7"/>
      <c r="W588" s="7"/>
      <c r="X588" s="7"/>
      <c r="Y588" s="7"/>
    </row>
    <row r="589" spans="1:25" ht="15">
      <c r="A589" s="81"/>
      <c r="B589" s="7"/>
      <c r="C589" s="7"/>
      <c r="D589" s="7"/>
      <c r="E589" s="7"/>
      <c r="F589" s="7"/>
      <c r="G589" s="7"/>
      <c r="H589" s="7"/>
      <c r="J589" s="7"/>
      <c r="K589" s="7"/>
      <c r="L589" s="7"/>
      <c r="M589" s="7"/>
      <c r="N589" s="7"/>
      <c r="O589" s="7"/>
      <c r="P589" s="7"/>
      <c r="Q589" s="7"/>
      <c r="R589" s="7"/>
      <c r="S589" s="7"/>
      <c r="T589" s="7"/>
      <c r="U589" s="7"/>
      <c r="V589" s="7"/>
      <c r="W589" s="7"/>
      <c r="X589" s="7"/>
      <c r="Y589" s="7"/>
    </row>
    <row r="590" spans="1:25" ht="15">
      <c r="A590" s="81"/>
      <c r="B590" s="7"/>
      <c r="C590" s="7"/>
      <c r="D590" s="7"/>
      <c r="E590" s="7"/>
      <c r="F590" s="7"/>
      <c r="G590" s="7"/>
      <c r="H590" s="7"/>
      <c r="J590" s="7"/>
      <c r="K590" s="7"/>
      <c r="L590" s="7"/>
      <c r="M590" s="7"/>
      <c r="N590" s="7"/>
      <c r="O590" s="7"/>
      <c r="P590" s="7"/>
      <c r="Q590" s="7"/>
      <c r="R590" s="7"/>
      <c r="S590" s="7"/>
      <c r="T590" s="7"/>
      <c r="U590" s="7"/>
      <c r="V590" s="7"/>
      <c r="W590" s="7"/>
      <c r="X590" s="7"/>
      <c r="Y590" s="7"/>
    </row>
    <row r="591" spans="1:25" ht="15">
      <c r="A591" s="81"/>
      <c r="B591" s="7"/>
      <c r="C591" s="7"/>
      <c r="D591" s="7"/>
      <c r="E591" s="7"/>
      <c r="F591" s="7"/>
      <c r="G591" s="7"/>
      <c r="H591" s="7"/>
      <c r="J591" s="7"/>
      <c r="K591" s="7"/>
      <c r="L591" s="7"/>
      <c r="M591" s="7"/>
      <c r="N591" s="7"/>
      <c r="O591" s="7"/>
      <c r="P591" s="7"/>
      <c r="Q591" s="7"/>
      <c r="R591" s="7"/>
      <c r="S591" s="7"/>
      <c r="T591" s="7"/>
      <c r="U591" s="7"/>
      <c r="V591" s="7"/>
      <c r="W591" s="7"/>
      <c r="X591" s="7"/>
      <c r="Y591" s="7"/>
    </row>
    <row r="592" spans="1:25" ht="15">
      <c r="A592" s="81"/>
      <c r="B592" s="7"/>
      <c r="C592" s="7"/>
      <c r="D592" s="7"/>
      <c r="E592" s="7"/>
      <c r="F592" s="7"/>
      <c r="G592" s="7"/>
      <c r="H592" s="7"/>
      <c r="J592" s="7"/>
      <c r="K592" s="7"/>
      <c r="L592" s="7"/>
      <c r="M592" s="7"/>
      <c r="N592" s="7"/>
      <c r="O592" s="7"/>
      <c r="P592" s="7"/>
      <c r="Q592" s="7"/>
      <c r="R592" s="7"/>
      <c r="S592" s="7"/>
      <c r="T592" s="7"/>
      <c r="U592" s="7"/>
      <c r="V592" s="7"/>
      <c r="W592" s="7"/>
      <c r="X592" s="7"/>
      <c r="Y592" s="7"/>
    </row>
    <row r="593" spans="1:25" ht="15">
      <c r="A593" s="81"/>
      <c r="B593" s="7"/>
      <c r="C593" s="7"/>
      <c r="D593" s="7"/>
      <c r="E593" s="7"/>
      <c r="F593" s="7"/>
      <c r="G593" s="7"/>
      <c r="H593" s="7"/>
      <c r="J593" s="7"/>
      <c r="K593" s="7"/>
      <c r="L593" s="7"/>
      <c r="M593" s="7"/>
      <c r="N593" s="7"/>
      <c r="O593" s="7"/>
      <c r="P593" s="7"/>
      <c r="Q593" s="7"/>
      <c r="R593" s="7"/>
      <c r="S593" s="7"/>
      <c r="T593" s="7"/>
      <c r="U593" s="7"/>
      <c r="V593" s="7"/>
      <c r="W593" s="7"/>
      <c r="X593" s="7"/>
      <c r="Y593" s="7"/>
    </row>
    <row r="594" spans="1:25" ht="15">
      <c r="A594" s="81"/>
      <c r="B594" s="7"/>
      <c r="C594" s="7"/>
      <c r="D594" s="7"/>
      <c r="E594" s="7"/>
      <c r="F594" s="7"/>
      <c r="G594" s="7"/>
      <c r="H594" s="7"/>
      <c r="J594" s="7"/>
      <c r="K594" s="7"/>
      <c r="L594" s="7"/>
      <c r="M594" s="7"/>
      <c r="N594" s="7"/>
      <c r="O594" s="7"/>
      <c r="P594" s="7"/>
      <c r="Q594" s="7"/>
      <c r="R594" s="7"/>
      <c r="S594" s="7"/>
      <c r="T594" s="7"/>
      <c r="U594" s="7"/>
      <c r="V594" s="7"/>
      <c r="W594" s="7"/>
      <c r="X594" s="7"/>
      <c r="Y594" s="7"/>
    </row>
    <row r="595" spans="1:25" ht="15">
      <c r="A595" s="81"/>
      <c r="B595" s="7"/>
      <c r="C595" s="7"/>
      <c r="D595" s="7"/>
      <c r="E595" s="7"/>
      <c r="F595" s="7"/>
      <c r="G595" s="7"/>
      <c r="H595" s="7"/>
      <c r="J595" s="7"/>
      <c r="K595" s="7"/>
      <c r="L595" s="7"/>
      <c r="M595" s="7"/>
      <c r="N595" s="7"/>
      <c r="O595" s="7"/>
      <c r="P595" s="7"/>
      <c r="Q595" s="7"/>
      <c r="R595" s="7"/>
      <c r="S595" s="7"/>
      <c r="T595" s="7"/>
      <c r="U595" s="7"/>
      <c r="V595" s="7"/>
      <c r="W595" s="7"/>
      <c r="X595" s="7"/>
      <c r="Y595" s="7"/>
    </row>
    <row r="596" spans="1:25" ht="15">
      <c r="A596" s="81"/>
      <c r="B596" s="7"/>
      <c r="C596" s="7"/>
      <c r="D596" s="7"/>
      <c r="E596" s="7"/>
      <c r="F596" s="7"/>
      <c r="G596" s="7"/>
      <c r="H596" s="7"/>
      <c r="J596" s="7"/>
      <c r="K596" s="7"/>
      <c r="L596" s="7"/>
      <c r="M596" s="7"/>
      <c r="N596" s="7"/>
      <c r="O596" s="7"/>
      <c r="P596" s="7"/>
      <c r="Q596" s="7"/>
      <c r="R596" s="7"/>
      <c r="S596" s="7"/>
      <c r="T596" s="7"/>
      <c r="U596" s="7"/>
      <c r="V596" s="7"/>
      <c r="W596" s="7"/>
      <c r="X596" s="7"/>
      <c r="Y596" s="7"/>
    </row>
    <row r="597" spans="1:25" ht="15">
      <c r="A597" s="81"/>
      <c r="B597" s="7"/>
      <c r="C597" s="7"/>
      <c r="D597" s="7"/>
      <c r="E597" s="7"/>
      <c r="F597" s="7"/>
      <c r="G597" s="7"/>
      <c r="H597" s="7"/>
      <c r="J597" s="7"/>
      <c r="K597" s="7"/>
      <c r="L597" s="7"/>
      <c r="M597" s="7"/>
      <c r="N597" s="7"/>
      <c r="O597" s="7"/>
      <c r="P597" s="7"/>
      <c r="Q597" s="7"/>
      <c r="R597" s="7"/>
      <c r="S597" s="7"/>
      <c r="T597" s="7"/>
      <c r="U597" s="7"/>
      <c r="V597" s="7"/>
      <c r="W597" s="7"/>
      <c r="X597" s="7"/>
      <c r="Y597" s="7"/>
    </row>
    <row r="598" spans="1:25" ht="15">
      <c r="A598" s="81"/>
      <c r="B598" s="7"/>
      <c r="C598" s="7"/>
      <c r="D598" s="7"/>
      <c r="E598" s="7"/>
      <c r="F598" s="7"/>
      <c r="G598" s="7"/>
      <c r="H598" s="7"/>
      <c r="J598" s="7"/>
      <c r="K598" s="7"/>
      <c r="L598" s="7"/>
      <c r="M598" s="7"/>
      <c r="N598" s="7"/>
      <c r="O598" s="7"/>
      <c r="P598" s="7"/>
      <c r="Q598" s="7"/>
      <c r="R598" s="7"/>
      <c r="S598" s="7"/>
      <c r="T598" s="7"/>
      <c r="U598" s="7"/>
      <c r="V598" s="7"/>
      <c r="W598" s="7"/>
      <c r="X598" s="7"/>
      <c r="Y598" s="7"/>
    </row>
    <row r="599" spans="1:25" ht="15">
      <c r="A599" s="81"/>
      <c r="B599" s="7"/>
      <c r="C599" s="7"/>
      <c r="D599" s="7"/>
      <c r="E599" s="7"/>
      <c r="F599" s="7"/>
      <c r="G599" s="7"/>
      <c r="H599" s="7"/>
      <c r="J599" s="7"/>
      <c r="K599" s="7"/>
      <c r="L599" s="7"/>
      <c r="M599" s="7"/>
      <c r="N599" s="7"/>
      <c r="O599" s="7"/>
      <c r="P599" s="7"/>
      <c r="Q599" s="7"/>
      <c r="R599" s="7"/>
      <c r="S599" s="7"/>
      <c r="T599" s="7"/>
      <c r="U599" s="7"/>
      <c r="V599" s="7"/>
      <c r="W599" s="7"/>
      <c r="X599" s="7"/>
      <c r="Y599" s="7"/>
    </row>
    <row r="600" spans="1:25" ht="15">
      <c r="A600" s="81"/>
      <c r="B600" s="7"/>
      <c r="C600" s="7"/>
      <c r="D600" s="7"/>
      <c r="E600" s="7"/>
      <c r="F600" s="7"/>
      <c r="G600" s="7"/>
      <c r="H600" s="7"/>
      <c r="J600" s="7"/>
      <c r="K600" s="7"/>
      <c r="L600" s="7"/>
      <c r="M600" s="7"/>
      <c r="N600" s="7"/>
      <c r="O600" s="7"/>
      <c r="P600" s="7"/>
      <c r="Q600" s="7"/>
      <c r="R600" s="7"/>
      <c r="S600" s="7"/>
      <c r="T600" s="7"/>
      <c r="U600" s="7"/>
      <c r="V600" s="7"/>
      <c r="W600" s="7"/>
      <c r="X600" s="7"/>
      <c r="Y600" s="7"/>
    </row>
    <row r="601" spans="1:25" ht="15">
      <c r="A601" s="81"/>
      <c r="B601" s="7"/>
      <c r="C601" s="7"/>
      <c r="D601" s="7"/>
      <c r="E601" s="7"/>
      <c r="F601" s="7"/>
      <c r="G601" s="7"/>
      <c r="H601" s="7"/>
      <c r="J601" s="7"/>
      <c r="K601" s="7"/>
      <c r="L601" s="7"/>
      <c r="M601" s="7"/>
      <c r="N601" s="7"/>
      <c r="O601" s="7"/>
      <c r="P601" s="7"/>
      <c r="Q601" s="7"/>
      <c r="R601" s="7"/>
      <c r="S601" s="7"/>
      <c r="T601" s="7"/>
      <c r="U601" s="7"/>
      <c r="V601" s="7"/>
      <c r="W601" s="7"/>
      <c r="X601" s="7"/>
      <c r="Y601" s="7"/>
    </row>
    <row r="602" spans="1:25" ht="15">
      <c r="A602" s="81"/>
      <c r="B602" s="7"/>
      <c r="C602" s="7"/>
      <c r="D602" s="7"/>
      <c r="E602" s="7"/>
      <c r="F602" s="7"/>
      <c r="G602" s="7"/>
      <c r="H602" s="7"/>
      <c r="J602" s="7"/>
      <c r="K602" s="7"/>
      <c r="L602" s="7"/>
      <c r="M602" s="7"/>
      <c r="N602" s="7"/>
      <c r="O602" s="7"/>
      <c r="P602" s="7"/>
      <c r="Q602" s="7"/>
      <c r="R602" s="7"/>
      <c r="S602" s="7"/>
      <c r="T602" s="7"/>
      <c r="U602" s="7"/>
      <c r="V602" s="7"/>
      <c r="W602" s="7"/>
      <c r="X602" s="7"/>
      <c r="Y602" s="7"/>
    </row>
    <row r="603" spans="1:25" ht="15">
      <c r="A603" s="81"/>
      <c r="B603" s="7"/>
      <c r="C603" s="7"/>
      <c r="D603" s="7"/>
      <c r="E603" s="7"/>
      <c r="F603" s="7"/>
      <c r="G603" s="7"/>
      <c r="H603" s="7"/>
      <c r="J603" s="7"/>
      <c r="K603" s="7"/>
      <c r="L603" s="7"/>
      <c r="M603" s="7"/>
      <c r="N603" s="7"/>
      <c r="O603" s="7"/>
      <c r="P603" s="7"/>
      <c r="Q603" s="7"/>
      <c r="R603" s="7"/>
      <c r="S603" s="7"/>
      <c r="T603" s="7"/>
      <c r="U603" s="7"/>
      <c r="V603" s="7"/>
      <c r="W603" s="7"/>
      <c r="X603" s="7"/>
      <c r="Y603" s="7"/>
    </row>
    <row r="604" spans="1:25" ht="15">
      <c r="A604" s="81"/>
      <c r="B604" s="7"/>
      <c r="C604" s="7"/>
      <c r="D604" s="7"/>
      <c r="E604" s="7"/>
      <c r="F604" s="7"/>
      <c r="G604" s="7"/>
      <c r="H604" s="7"/>
      <c r="J604" s="7"/>
      <c r="K604" s="7"/>
      <c r="L604" s="7"/>
      <c r="M604" s="7"/>
      <c r="N604" s="7"/>
      <c r="O604" s="7"/>
      <c r="P604" s="7"/>
      <c r="Q604" s="7"/>
      <c r="R604" s="7"/>
      <c r="S604" s="7"/>
      <c r="T604" s="7"/>
      <c r="U604" s="7"/>
      <c r="V604" s="7"/>
      <c r="W604" s="7"/>
      <c r="X604" s="7"/>
      <c r="Y604" s="7"/>
    </row>
    <row r="605" spans="1:25" ht="15">
      <c r="A605" s="81"/>
      <c r="B605" s="7"/>
      <c r="C605" s="7"/>
      <c r="D605" s="7"/>
      <c r="E605" s="7"/>
      <c r="F605" s="7"/>
      <c r="G605" s="7"/>
      <c r="H605" s="7"/>
      <c r="J605" s="7"/>
      <c r="K605" s="7"/>
      <c r="L605" s="7"/>
      <c r="M605" s="7"/>
      <c r="N605" s="7"/>
      <c r="O605" s="7"/>
      <c r="P605" s="7"/>
      <c r="Q605" s="7"/>
      <c r="R605" s="7"/>
      <c r="S605" s="7"/>
      <c r="T605" s="7"/>
      <c r="U605" s="7"/>
      <c r="V605" s="7"/>
      <c r="W605" s="7"/>
      <c r="X605" s="7"/>
      <c r="Y605" s="7"/>
    </row>
    <row r="606" spans="1:25" ht="15">
      <c r="A606" s="81"/>
      <c r="B606" s="7"/>
      <c r="C606" s="7"/>
      <c r="D606" s="7"/>
      <c r="E606" s="7"/>
      <c r="F606" s="7"/>
      <c r="G606" s="7"/>
      <c r="H606" s="7"/>
      <c r="J606" s="7"/>
      <c r="K606" s="7"/>
      <c r="L606" s="7"/>
      <c r="M606" s="7"/>
      <c r="N606" s="7"/>
      <c r="O606" s="7"/>
      <c r="P606" s="7"/>
      <c r="Q606" s="7"/>
      <c r="R606" s="7"/>
      <c r="S606" s="7"/>
      <c r="T606" s="7"/>
      <c r="U606" s="7"/>
      <c r="V606" s="7"/>
      <c r="W606" s="7"/>
      <c r="X606" s="7"/>
      <c r="Y606" s="7"/>
    </row>
    <row r="607" spans="1:25" ht="15">
      <c r="A607" s="81"/>
      <c r="B607" s="7"/>
      <c r="C607" s="7"/>
      <c r="D607" s="7"/>
      <c r="E607" s="7"/>
      <c r="F607" s="7"/>
      <c r="G607" s="7"/>
      <c r="H607" s="7"/>
      <c r="J607" s="7"/>
      <c r="K607" s="7"/>
      <c r="L607" s="7"/>
      <c r="M607" s="7"/>
      <c r="N607" s="7"/>
      <c r="O607" s="7"/>
      <c r="P607" s="7"/>
      <c r="Q607" s="7"/>
      <c r="R607" s="7"/>
      <c r="S607" s="7"/>
      <c r="T607" s="7"/>
      <c r="U607" s="7"/>
      <c r="V607" s="7"/>
      <c r="W607" s="7"/>
      <c r="X607" s="7"/>
      <c r="Y607" s="7"/>
    </row>
    <row r="608" spans="1:25" ht="15">
      <c r="A608" s="81"/>
      <c r="B608" s="7"/>
      <c r="C608" s="7"/>
      <c r="D608" s="7"/>
      <c r="E608" s="7"/>
      <c r="F608" s="7"/>
      <c r="G608" s="7"/>
      <c r="H608" s="7"/>
      <c r="J608" s="7"/>
      <c r="K608" s="7"/>
      <c r="L608" s="7"/>
      <c r="M608" s="7"/>
      <c r="N608" s="7"/>
      <c r="O608" s="7"/>
      <c r="P608" s="7"/>
      <c r="Q608" s="7"/>
      <c r="R608" s="7"/>
      <c r="S608" s="7"/>
      <c r="T608" s="7"/>
      <c r="U608" s="7"/>
      <c r="V608" s="7"/>
      <c r="W608" s="7"/>
      <c r="X608" s="7"/>
      <c r="Y608" s="7"/>
    </row>
    <row r="609" spans="1:25" ht="15">
      <c r="A609" s="81"/>
      <c r="B609" s="7"/>
      <c r="C609" s="7"/>
      <c r="D609" s="7"/>
      <c r="E609" s="7"/>
      <c r="F609" s="7"/>
      <c r="G609" s="7"/>
      <c r="H609" s="7"/>
      <c r="J609" s="7"/>
      <c r="K609" s="7"/>
      <c r="L609" s="7"/>
      <c r="M609" s="7"/>
      <c r="N609" s="7"/>
      <c r="O609" s="7"/>
      <c r="P609" s="7"/>
      <c r="Q609" s="7"/>
      <c r="R609" s="7"/>
      <c r="S609" s="7"/>
      <c r="T609" s="7"/>
      <c r="U609" s="7"/>
      <c r="V609" s="7"/>
      <c r="W609" s="7"/>
      <c r="X609" s="7"/>
      <c r="Y609" s="7"/>
    </row>
    <row r="610" spans="1:25" ht="15">
      <c r="A610" s="81"/>
      <c r="B610" s="7"/>
      <c r="C610" s="7"/>
      <c r="D610" s="7"/>
      <c r="E610" s="7"/>
      <c r="F610" s="7"/>
      <c r="G610" s="7"/>
      <c r="H610" s="7"/>
      <c r="J610" s="7"/>
      <c r="K610" s="7"/>
      <c r="L610" s="7"/>
      <c r="M610" s="7"/>
      <c r="N610" s="7"/>
      <c r="O610" s="7"/>
      <c r="P610" s="7"/>
      <c r="Q610" s="7"/>
      <c r="R610" s="7"/>
      <c r="S610" s="7"/>
      <c r="T610" s="7"/>
      <c r="U610" s="7"/>
      <c r="V610" s="7"/>
      <c r="W610" s="7"/>
      <c r="X610" s="7"/>
      <c r="Y610" s="7"/>
    </row>
    <row r="611" spans="1:25" ht="15">
      <c r="A611" s="81"/>
      <c r="B611" s="7"/>
      <c r="C611" s="7"/>
      <c r="D611" s="7"/>
      <c r="E611" s="7"/>
      <c r="F611" s="7"/>
      <c r="G611" s="7"/>
      <c r="H611" s="7"/>
      <c r="J611" s="7"/>
      <c r="K611" s="7"/>
      <c r="L611" s="7"/>
      <c r="M611" s="7"/>
      <c r="N611" s="7"/>
      <c r="O611" s="7"/>
      <c r="P611" s="7"/>
      <c r="Q611" s="7"/>
      <c r="R611" s="7"/>
      <c r="S611" s="7"/>
      <c r="T611" s="7"/>
      <c r="U611" s="7"/>
      <c r="V611" s="7"/>
      <c r="W611" s="7"/>
      <c r="X611" s="7"/>
      <c r="Y611" s="7"/>
    </row>
    <row r="612" spans="1:25" ht="15">
      <c r="A612" s="81"/>
      <c r="B612" s="7"/>
      <c r="C612" s="7"/>
      <c r="D612" s="7"/>
      <c r="E612" s="7"/>
      <c r="F612" s="7"/>
      <c r="G612" s="7"/>
      <c r="H612" s="7"/>
      <c r="J612" s="7"/>
      <c r="K612" s="7"/>
      <c r="L612" s="7"/>
      <c r="M612" s="7"/>
      <c r="N612" s="7"/>
      <c r="O612" s="7"/>
      <c r="P612" s="7"/>
      <c r="Q612" s="7"/>
      <c r="R612" s="7"/>
      <c r="S612" s="7"/>
      <c r="T612" s="7"/>
      <c r="U612" s="7"/>
      <c r="V612" s="7"/>
      <c r="W612" s="7"/>
      <c r="X612" s="7"/>
      <c r="Y612" s="7"/>
    </row>
    <row r="613" spans="1:25" ht="15">
      <c r="A613" s="81"/>
      <c r="B613" s="7"/>
      <c r="C613" s="7"/>
      <c r="D613" s="7"/>
      <c r="E613" s="7"/>
      <c r="F613" s="7"/>
      <c r="G613" s="7"/>
      <c r="H613" s="7"/>
      <c r="J613" s="7"/>
      <c r="K613" s="7"/>
      <c r="L613" s="7"/>
      <c r="M613" s="7"/>
      <c r="N613" s="7"/>
      <c r="O613" s="7"/>
      <c r="P613" s="7"/>
      <c r="Q613" s="7"/>
      <c r="R613" s="7"/>
      <c r="S613" s="7"/>
      <c r="T613" s="7"/>
      <c r="U613" s="7"/>
      <c r="V613" s="7"/>
      <c r="W613" s="7"/>
      <c r="X613" s="7"/>
      <c r="Y613" s="7"/>
    </row>
    <row r="614" spans="1:25" ht="15">
      <c r="A614" s="81"/>
      <c r="B614" s="7"/>
      <c r="C614" s="7"/>
      <c r="D614" s="7"/>
      <c r="E614" s="7"/>
      <c r="F614" s="7"/>
      <c r="G614" s="7"/>
      <c r="H614" s="7"/>
      <c r="J614" s="7"/>
      <c r="K614" s="7"/>
      <c r="L614" s="7"/>
      <c r="M614" s="7"/>
      <c r="N614" s="7"/>
      <c r="O614" s="7"/>
      <c r="P614" s="7"/>
      <c r="Q614" s="7"/>
      <c r="R614" s="7"/>
      <c r="S614" s="7"/>
      <c r="T614" s="7"/>
      <c r="U614" s="7"/>
      <c r="V614" s="7"/>
      <c r="W614" s="7"/>
      <c r="X614" s="7"/>
      <c r="Y614" s="7"/>
    </row>
    <row r="615" spans="1:25" ht="15">
      <c r="A615" s="81"/>
      <c r="B615" s="7"/>
      <c r="C615" s="7"/>
      <c r="D615" s="7"/>
      <c r="E615" s="7"/>
      <c r="F615" s="7"/>
      <c r="G615" s="7"/>
      <c r="H615" s="7"/>
      <c r="J615" s="7"/>
      <c r="K615" s="7"/>
      <c r="L615" s="7"/>
      <c r="M615" s="7"/>
      <c r="N615" s="7"/>
      <c r="O615" s="7"/>
      <c r="P615" s="7"/>
      <c r="Q615" s="7"/>
      <c r="R615" s="7"/>
      <c r="S615" s="7"/>
      <c r="T615" s="7"/>
      <c r="U615" s="7"/>
      <c r="V615" s="7"/>
      <c r="W615" s="7"/>
      <c r="X615" s="7"/>
      <c r="Y615" s="7"/>
    </row>
    <row r="616" spans="1:25" ht="15">
      <c r="A616" s="81"/>
      <c r="B616" s="7"/>
      <c r="C616" s="7"/>
      <c r="D616" s="7"/>
      <c r="E616" s="7"/>
      <c r="F616" s="7"/>
      <c r="G616" s="7"/>
      <c r="H616" s="7"/>
      <c r="J616" s="7"/>
      <c r="K616" s="7"/>
      <c r="L616" s="7"/>
      <c r="M616" s="7"/>
      <c r="N616" s="7"/>
      <c r="O616" s="7"/>
      <c r="P616" s="7"/>
      <c r="Q616" s="7"/>
      <c r="R616" s="7"/>
      <c r="S616" s="7"/>
      <c r="T616" s="7"/>
      <c r="U616" s="7"/>
      <c r="V616" s="7"/>
      <c r="W616" s="7"/>
      <c r="X616" s="7"/>
      <c r="Y616" s="7"/>
    </row>
    <row r="617" spans="1:25" ht="15">
      <c r="A617" s="81"/>
      <c r="B617" s="7"/>
      <c r="C617" s="7"/>
      <c r="D617" s="7"/>
      <c r="E617" s="7"/>
      <c r="F617" s="7"/>
      <c r="G617" s="7"/>
      <c r="H617" s="7"/>
      <c r="J617" s="7"/>
      <c r="K617" s="7"/>
      <c r="L617" s="7"/>
      <c r="M617" s="7"/>
      <c r="N617" s="7"/>
      <c r="O617" s="7"/>
      <c r="P617" s="7"/>
      <c r="Q617" s="7"/>
      <c r="R617" s="7"/>
      <c r="S617" s="7"/>
      <c r="T617" s="7"/>
      <c r="U617" s="7"/>
      <c r="V617" s="7"/>
      <c r="W617" s="7"/>
      <c r="X617" s="7"/>
      <c r="Y617" s="7"/>
    </row>
    <row r="618" spans="1:25" ht="15">
      <c r="A618" s="81"/>
      <c r="B618" s="7"/>
      <c r="C618" s="7"/>
      <c r="D618" s="7"/>
      <c r="E618" s="7"/>
      <c r="F618" s="7"/>
      <c r="G618" s="7"/>
      <c r="H618" s="7"/>
      <c r="J618" s="7"/>
      <c r="K618" s="7"/>
      <c r="L618" s="7"/>
      <c r="M618" s="7"/>
      <c r="N618" s="7"/>
      <c r="O618" s="7"/>
      <c r="P618" s="7"/>
      <c r="Q618" s="7"/>
      <c r="R618" s="7"/>
      <c r="S618" s="7"/>
      <c r="T618" s="7"/>
      <c r="U618" s="7"/>
      <c r="V618" s="7"/>
      <c r="W618" s="7"/>
      <c r="X618" s="7"/>
      <c r="Y618" s="7"/>
    </row>
    <row r="619" spans="1:25" ht="15">
      <c r="A619" s="81"/>
      <c r="B619" s="7"/>
      <c r="C619" s="7"/>
      <c r="D619" s="7"/>
      <c r="E619" s="7"/>
      <c r="F619" s="7"/>
      <c r="G619" s="7"/>
      <c r="H619" s="7"/>
      <c r="J619" s="7"/>
      <c r="K619" s="7"/>
      <c r="L619" s="7"/>
      <c r="M619" s="7"/>
      <c r="N619" s="7"/>
      <c r="O619" s="7"/>
      <c r="P619" s="7"/>
      <c r="Q619" s="7"/>
      <c r="R619" s="7"/>
      <c r="S619" s="7"/>
      <c r="T619" s="7"/>
      <c r="U619" s="7"/>
      <c r="V619" s="7"/>
      <c r="W619" s="7"/>
      <c r="X619" s="7"/>
      <c r="Y619" s="7"/>
    </row>
    <row r="620" spans="1:25" ht="15">
      <c r="A620" s="81"/>
      <c r="B620" s="7"/>
      <c r="C620" s="7"/>
      <c r="D620" s="7"/>
      <c r="E620" s="7"/>
      <c r="F620" s="7"/>
      <c r="G620" s="7"/>
      <c r="H620" s="7"/>
      <c r="J620" s="7"/>
      <c r="K620" s="7"/>
      <c r="L620" s="7"/>
      <c r="M620" s="7"/>
      <c r="N620" s="7"/>
      <c r="O620" s="7"/>
      <c r="P620" s="7"/>
      <c r="Q620" s="7"/>
      <c r="R620" s="7"/>
      <c r="S620" s="7"/>
      <c r="T620" s="7"/>
      <c r="U620" s="7"/>
      <c r="V620" s="7"/>
      <c r="W620" s="7"/>
      <c r="X620" s="7"/>
      <c r="Y620" s="7"/>
    </row>
    <row r="621" spans="1:25" ht="15">
      <c r="A621" s="81"/>
      <c r="B621" s="7"/>
      <c r="C621" s="7"/>
      <c r="D621" s="7"/>
      <c r="E621" s="7"/>
      <c r="F621" s="7"/>
      <c r="G621" s="7"/>
      <c r="H621" s="7"/>
      <c r="J621" s="7"/>
      <c r="K621" s="7"/>
      <c r="L621" s="7"/>
      <c r="M621" s="7"/>
      <c r="N621" s="7"/>
      <c r="O621" s="7"/>
      <c r="P621" s="7"/>
      <c r="Q621" s="7"/>
      <c r="R621" s="7"/>
      <c r="S621" s="7"/>
      <c r="T621" s="7"/>
      <c r="U621" s="7"/>
      <c r="V621" s="7"/>
      <c r="W621" s="7"/>
      <c r="X621" s="7"/>
      <c r="Y621" s="7"/>
    </row>
    <row r="622" spans="1:25" ht="15">
      <c r="A622" s="81"/>
      <c r="B622" s="7"/>
      <c r="C622" s="7"/>
      <c r="D622" s="7"/>
      <c r="E622" s="7"/>
      <c r="F622" s="7"/>
      <c r="G622" s="7"/>
      <c r="H622" s="7"/>
      <c r="J622" s="7"/>
      <c r="K622" s="7"/>
      <c r="L622" s="7"/>
      <c r="M622" s="7"/>
      <c r="N622" s="7"/>
      <c r="O622" s="7"/>
      <c r="P622" s="7"/>
      <c r="Q622" s="7"/>
      <c r="R622" s="7"/>
      <c r="S622" s="7"/>
      <c r="T622" s="7"/>
      <c r="U622" s="7"/>
      <c r="V622" s="7"/>
      <c r="W622" s="7"/>
      <c r="X622" s="7"/>
      <c r="Y622" s="7"/>
    </row>
    <row r="623" spans="1:25" ht="15">
      <c r="A623" s="81"/>
      <c r="B623" s="7"/>
      <c r="C623" s="7"/>
      <c r="D623" s="7"/>
      <c r="E623" s="7"/>
      <c r="F623" s="7"/>
      <c r="G623" s="7"/>
      <c r="H623" s="7"/>
      <c r="J623" s="7"/>
      <c r="K623" s="7"/>
      <c r="L623" s="7"/>
      <c r="M623" s="7"/>
      <c r="N623" s="7"/>
      <c r="O623" s="7"/>
      <c r="P623" s="7"/>
      <c r="Q623" s="7"/>
      <c r="R623" s="7"/>
      <c r="S623" s="7"/>
      <c r="T623" s="7"/>
      <c r="U623" s="7"/>
      <c r="V623" s="7"/>
      <c r="W623" s="7"/>
      <c r="X623" s="7"/>
      <c r="Y623" s="7"/>
    </row>
    <row r="624" spans="1:25" ht="15">
      <c r="A624" s="81"/>
      <c r="B624" s="7"/>
      <c r="C624" s="7"/>
      <c r="D624" s="7"/>
      <c r="E624" s="7"/>
      <c r="F624" s="7"/>
      <c r="G624" s="7"/>
      <c r="H624" s="7"/>
      <c r="J624" s="7"/>
      <c r="K624" s="7"/>
      <c r="L624" s="7"/>
      <c r="M624" s="7"/>
      <c r="N624" s="7"/>
      <c r="O624" s="7"/>
      <c r="P624" s="7"/>
      <c r="Q624" s="7"/>
      <c r="R624" s="7"/>
      <c r="S624" s="7"/>
      <c r="T624" s="7"/>
      <c r="U624" s="7"/>
      <c r="V624" s="7"/>
      <c r="W624" s="7"/>
      <c r="X624" s="7"/>
      <c r="Y624" s="7"/>
    </row>
    <row r="625" spans="1:25" ht="15">
      <c r="A625" s="81"/>
      <c r="B625" s="7"/>
      <c r="C625" s="7"/>
      <c r="D625" s="7"/>
      <c r="E625" s="7"/>
      <c r="F625" s="7"/>
      <c r="G625" s="7"/>
      <c r="H625" s="7"/>
      <c r="J625" s="7"/>
      <c r="K625" s="7"/>
      <c r="L625" s="7"/>
      <c r="M625" s="7"/>
      <c r="N625" s="7"/>
      <c r="O625" s="7"/>
      <c r="P625" s="7"/>
      <c r="Q625" s="7"/>
      <c r="R625" s="7"/>
      <c r="S625" s="7"/>
      <c r="T625" s="7"/>
      <c r="U625" s="7"/>
      <c r="V625" s="7"/>
      <c r="W625" s="7"/>
      <c r="X625" s="7"/>
      <c r="Y625" s="7"/>
    </row>
    <row r="626" spans="1:25" ht="15">
      <c r="A626" s="81"/>
      <c r="B626" s="7"/>
      <c r="C626" s="7"/>
      <c r="D626" s="7"/>
      <c r="E626" s="7"/>
      <c r="F626" s="7"/>
      <c r="G626" s="7"/>
      <c r="H626" s="7"/>
      <c r="J626" s="7"/>
      <c r="K626" s="7"/>
      <c r="L626" s="7"/>
      <c r="M626" s="7"/>
      <c r="N626" s="7"/>
      <c r="O626" s="7"/>
      <c r="P626" s="7"/>
      <c r="Q626" s="7"/>
      <c r="R626" s="7"/>
      <c r="S626" s="7"/>
      <c r="T626" s="7"/>
      <c r="U626" s="7"/>
      <c r="V626" s="7"/>
      <c r="W626" s="7"/>
      <c r="X626" s="7"/>
      <c r="Y626" s="7"/>
    </row>
    <row r="627" spans="1:25" ht="15">
      <c r="A627" s="81"/>
      <c r="B627" s="7"/>
      <c r="C627" s="7"/>
      <c r="D627" s="7"/>
      <c r="E627" s="7"/>
      <c r="F627" s="7"/>
      <c r="G627" s="7"/>
      <c r="H627" s="7"/>
      <c r="J627" s="7"/>
      <c r="K627" s="7"/>
      <c r="L627" s="7"/>
      <c r="M627" s="7"/>
      <c r="N627" s="7"/>
      <c r="O627" s="7"/>
      <c r="P627" s="7"/>
      <c r="Q627" s="7"/>
      <c r="R627" s="7"/>
      <c r="S627" s="7"/>
      <c r="T627" s="7"/>
      <c r="U627" s="7"/>
      <c r="V627" s="7"/>
      <c r="W627" s="7"/>
      <c r="X627" s="7"/>
      <c r="Y627" s="7"/>
    </row>
    <row r="628" spans="1:25" ht="15">
      <c r="A628" s="81"/>
      <c r="B628" s="7"/>
      <c r="C628" s="7"/>
      <c r="D628" s="7"/>
      <c r="E628" s="7"/>
      <c r="F628" s="7"/>
      <c r="G628" s="7"/>
      <c r="H628" s="7"/>
      <c r="J628" s="7"/>
      <c r="K628" s="7"/>
      <c r="L628" s="7"/>
      <c r="M628" s="7"/>
      <c r="N628" s="7"/>
      <c r="O628" s="7"/>
      <c r="P628" s="7"/>
      <c r="Q628" s="7"/>
      <c r="R628" s="7"/>
      <c r="S628" s="7"/>
      <c r="T628" s="7"/>
      <c r="U628" s="7"/>
      <c r="V628" s="7"/>
      <c r="W628" s="7"/>
      <c r="X628" s="7"/>
      <c r="Y628" s="7"/>
    </row>
    <row r="629" spans="1:25" ht="15">
      <c r="A629" s="81"/>
      <c r="B629" s="7"/>
      <c r="C629" s="7"/>
      <c r="D629" s="7"/>
      <c r="E629" s="7"/>
      <c r="F629" s="7"/>
      <c r="G629" s="7"/>
      <c r="H629" s="7"/>
      <c r="J629" s="7"/>
      <c r="K629" s="7"/>
      <c r="L629" s="7"/>
      <c r="M629" s="7"/>
      <c r="N629" s="7"/>
      <c r="O629" s="7"/>
      <c r="P629" s="7"/>
      <c r="Q629" s="7"/>
      <c r="R629" s="7"/>
      <c r="S629" s="7"/>
      <c r="T629" s="7"/>
      <c r="U629" s="7"/>
      <c r="V629" s="7"/>
      <c r="W629" s="7"/>
      <c r="X629" s="7"/>
      <c r="Y629" s="7"/>
    </row>
    <row r="630" spans="1:25" ht="15">
      <c r="A630" s="81"/>
      <c r="B630" s="7"/>
      <c r="C630" s="7"/>
      <c r="D630" s="7"/>
      <c r="E630" s="7"/>
      <c r="F630" s="7"/>
      <c r="G630" s="7"/>
      <c r="H630" s="7"/>
      <c r="J630" s="7"/>
      <c r="K630" s="7"/>
      <c r="L630" s="7"/>
      <c r="M630" s="7"/>
      <c r="N630" s="7"/>
      <c r="O630" s="7"/>
      <c r="P630" s="7"/>
      <c r="Q630" s="7"/>
      <c r="R630" s="7"/>
      <c r="S630" s="7"/>
      <c r="T630" s="7"/>
      <c r="U630" s="7"/>
      <c r="V630" s="7"/>
      <c r="W630" s="7"/>
      <c r="X630" s="7"/>
      <c r="Y630" s="7"/>
    </row>
    <row r="631" spans="1:25" ht="15">
      <c r="A631" s="81"/>
      <c r="B631" s="7"/>
      <c r="C631" s="7"/>
      <c r="D631" s="7"/>
      <c r="E631" s="7"/>
      <c r="F631" s="7"/>
      <c r="G631" s="7"/>
      <c r="H631" s="7"/>
      <c r="J631" s="7"/>
      <c r="K631" s="7"/>
      <c r="L631" s="7"/>
      <c r="M631" s="7"/>
      <c r="N631" s="7"/>
      <c r="O631" s="7"/>
      <c r="P631" s="7"/>
      <c r="Q631" s="7"/>
      <c r="R631" s="7"/>
      <c r="S631" s="7"/>
      <c r="T631" s="7"/>
      <c r="U631" s="7"/>
      <c r="V631" s="7"/>
      <c r="W631" s="7"/>
      <c r="X631" s="7"/>
      <c r="Y631" s="7"/>
    </row>
    <row r="632" spans="1:25" ht="15">
      <c r="A632" s="81"/>
      <c r="B632" s="7"/>
      <c r="C632" s="7"/>
      <c r="D632" s="7"/>
      <c r="E632" s="7"/>
      <c r="F632" s="7"/>
      <c r="G632" s="7"/>
      <c r="H632" s="7"/>
      <c r="J632" s="7"/>
      <c r="K632" s="7"/>
      <c r="L632" s="7"/>
      <c r="M632" s="7"/>
      <c r="N632" s="7"/>
      <c r="O632" s="7"/>
      <c r="P632" s="7"/>
      <c r="Q632" s="7"/>
      <c r="R632" s="7"/>
      <c r="S632" s="7"/>
      <c r="T632" s="7"/>
      <c r="U632" s="7"/>
      <c r="V632" s="7"/>
      <c r="W632" s="7"/>
      <c r="X632" s="7"/>
      <c r="Y632" s="7"/>
    </row>
    <row r="633" spans="1:25" ht="15">
      <c r="A633" s="81"/>
      <c r="B633" s="7"/>
      <c r="C633" s="7"/>
      <c r="D633" s="7"/>
      <c r="E633" s="7"/>
      <c r="F633" s="7"/>
      <c r="G633" s="7"/>
      <c r="H633" s="7"/>
      <c r="J633" s="7"/>
      <c r="K633" s="7"/>
      <c r="L633" s="7"/>
      <c r="M633" s="7"/>
      <c r="N633" s="7"/>
      <c r="O633" s="7"/>
      <c r="P633" s="7"/>
      <c r="Q633" s="7"/>
      <c r="R633" s="7"/>
      <c r="S633" s="7"/>
      <c r="T633" s="7"/>
      <c r="U633" s="7"/>
      <c r="V633" s="7"/>
      <c r="W633" s="7"/>
      <c r="X633" s="7"/>
      <c r="Y633" s="7"/>
    </row>
    <row r="634" spans="1:25" ht="15">
      <c r="A634" s="81"/>
      <c r="B634" s="7"/>
      <c r="C634" s="7"/>
      <c r="D634" s="7"/>
      <c r="E634" s="7"/>
      <c r="F634" s="7"/>
      <c r="G634" s="7"/>
      <c r="H634" s="7"/>
      <c r="J634" s="7"/>
      <c r="K634" s="7"/>
      <c r="L634" s="7"/>
      <c r="M634" s="7"/>
      <c r="N634" s="7"/>
      <c r="O634" s="7"/>
      <c r="P634" s="7"/>
      <c r="Q634" s="7"/>
      <c r="R634" s="7"/>
      <c r="S634" s="7"/>
      <c r="T634" s="7"/>
      <c r="U634" s="7"/>
      <c r="V634" s="7"/>
      <c r="W634" s="7"/>
      <c r="X634" s="7"/>
      <c r="Y634" s="7"/>
    </row>
    <row r="635" spans="1:25" ht="15">
      <c r="A635" s="81"/>
      <c r="B635" s="7"/>
      <c r="C635" s="7"/>
      <c r="D635" s="7"/>
      <c r="E635" s="7"/>
      <c r="F635" s="7"/>
      <c r="G635" s="7"/>
      <c r="H635" s="7"/>
      <c r="J635" s="7"/>
      <c r="K635" s="7"/>
      <c r="L635" s="7"/>
      <c r="M635" s="7"/>
      <c r="N635" s="7"/>
      <c r="O635" s="7"/>
      <c r="P635" s="7"/>
      <c r="Q635" s="7"/>
      <c r="R635" s="7"/>
      <c r="S635" s="7"/>
      <c r="T635" s="7"/>
      <c r="U635" s="7"/>
      <c r="V635" s="7"/>
      <c r="W635" s="7"/>
      <c r="X635" s="7"/>
      <c r="Y635" s="7"/>
    </row>
    <row r="636" spans="1:25" ht="15">
      <c r="A636" s="81"/>
      <c r="B636" s="7"/>
      <c r="C636" s="7"/>
      <c r="D636" s="7"/>
      <c r="E636" s="7"/>
      <c r="F636" s="7"/>
      <c r="G636" s="7"/>
      <c r="H636" s="7"/>
      <c r="J636" s="7"/>
      <c r="K636" s="7"/>
      <c r="L636" s="7"/>
      <c r="M636" s="7"/>
      <c r="N636" s="7"/>
      <c r="O636" s="7"/>
      <c r="P636" s="7"/>
      <c r="Q636" s="7"/>
      <c r="R636" s="7"/>
      <c r="S636" s="7"/>
      <c r="T636" s="7"/>
      <c r="U636" s="7"/>
      <c r="V636" s="7"/>
      <c r="W636" s="7"/>
      <c r="X636" s="7"/>
      <c r="Y636" s="7"/>
    </row>
    <row r="637" spans="1:25" ht="15">
      <c r="A637" s="81"/>
      <c r="B637" s="7"/>
      <c r="C637" s="7"/>
      <c r="D637" s="7"/>
      <c r="E637" s="7"/>
      <c r="F637" s="7"/>
      <c r="G637" s="7"/>
      <c r="H637" s="7"/>
      <c r="J637" s="7"/>
      <c r="K637" s="7"/>
      <c r="L637" s="7"/>
      <c r="M637" s="7"/>
      <c r="N637" s="7"/>
      <c r="O637" s="7"/>
      <c r="P637" s="7"/>
      <c r="Q637" s="7"/>
      <c r="R637" s="7"/>
      <c r="S637" s="7"/>
      <c r="T637" s="7"/>
      <c r="U637" s="7"/>
      <c r="V637" s="7"/>
      <c r="W637" s="7"/>
      <c r="X637" s="7"/>
      <c r="Y637" s="7"/>
    </row>
    <row r="638" spans="1:25" ht="15">
      <c r="A638" s="81"/>
      <c r="B638" s="7"/>
      <c r="C638" s="7"/>
      <c r="D638" s="7"/>
      <c r="E638" s="7"/>
      <c r="F638" s="7"/>
      <c r="G638" s="7"/>
      <c r="H638" s="7"/>
      <c r="J638" s="7"/>
      <c r="K638" s="7"/>
      <c r="L638" s="7"/>
      <c r="M638" s="7"/>
      <c r="N638" s="7"/>
      <c r="O638" s="7"/>
      <c r="P638" s="7"/>
      <c r="Q638" s="7"/>
      <c r="R638" s="7"/>
      <c r="S638" s="7"/>
      <c r="T638" s="7"/>
      <c r="U638" s="7"/>
      <c r="V638" s="7"/>
      <c r="W638" s="7"/>
      <c r="X638" s="7"/>
      <c r="Y638" s="7"/>
    </row>
    <row r="639" spans="1:25" ht="15">
      <c r="A639" s="81"/>
      <c r="B639" s="7"/>
      <c r="C639" s="7"/>
      <c r="D639" s="7"/>
      <c r="E639" s="7"/>
      <c r="F639" s="7"/>
      <c r="G639" s="7"/>
      <c r="H639" s="7"/>
      <c r="J639" s="7"/>
      <c r="K639" s="7"/>
      <c r="L639" s="7"/>
      <c r="M639" s="7"/>
      <c r="N639" s="7"/>
      <c r="O639" s="7"/>
      <c r="P639" s="7"/>
      <c r="Q639" s="7"/>
      <c r="R639" s="7"/>
      <c r="S639" s="7"/>
      <c r="T639" s="7"/>
      <c r="U639" s="7"/>
      <c r="V639" s="7"/>
      <c r="W639" s="7"/>
      <c r="X639" s="7"/>
      <c r="Y639" s="7"/>
    </row>
    <row r="640" spans="1:25" ht="15">
      <c r="A640" s="81"/>
      <c r="B640" s="7"/>
      <c r="C640" s="7"/>
      <c r="D640" s="7"/>
      <c r="E640" s="7"/>
      <c r="F640" s="7"/>
      <c r="G640" s="7"/>
      <c r="H640" s="7"/>
      <c r="J640" s="7"/>
      <c r="K640" s="7"/>
      <c r="L640" s="7"/>
      <c r="M640" s="7"/>
      <c r="N640" s="7"/>
      <c r="O640" s="7"/>
      <c r="P640" s="7"/>
      <c r="Q640" s="7"/>
      <c r="R640" s="7"/>
      <c r="S640" s="7"/>
      <c r="T640" s="7"/>
      <c r="U640" s="7"/>
      <c r="V640" s="7"/>
      <c r="W640" s="7"/>
      <c r="X640" s="7"/>
      <c r="Y640" s="7"/>
    </row>
    <row r="641" spans="1:25" ht="15">
      <c r="A641" s="81"/>
      <c r="B641" s="7"/>
      <c r="C641" s="7"/>
      <c r="D641" s="7"/>
      <c r="E641" s="7"/>
      <c r="F641" s="7"/>
      <c r="G641" s="7"/>
      <c r="H641" s="7"/>
      <c r="J641" s="7"/>
      <c r="K641" s="7"/>
      <c r="L641" s="7"/>
      <c r="M641" s="7"/>
      <c r="N641" s="7"/>
      <c r="O641" s="7"/>
      <c r="P641" s="7"/>
      <c r="Q641" s="7"/>
      <c r="R641" s="7"/>
      <c r="S641" s="7"/>
      <c r="T641" s="7"/>
      <c r="U641" s="7"/>
      <c r="V641" s="7"/>
      <c r="W641" s="7"/>
      <c r="X641" s="7"/>
      <c r="Y641" s="7"/>
    </row>
    <row r="642" spans="1:25" ht="15">
      <c r="A642" s="81"/>
      <c r="B642" s="7"/>
      <c r="C642" s="7"/>
      <c r="D642" s="7"/>
      <c r="E642" s="7"/>
      <c r="F642" s="7"/>
      <c r="G642" s="7"/>
      <c r="H642" s="7"/>
      <c r="J642" s="7"/>
      <c r="K642" s="7"/>
      <c r="L642" s="7"/>
      <c r="M642" s="7"/>
      <c r="N642" s="7"/>
      <c r="O642" s="7"/>
      <c r="P642" s="7"/>
      <c r="Q642" s="7"/>
      <c r="R642" s="7"/>
      <c r="S642" s="7"/>
      <c r="T642" s="7"/>
      <c r="U642" s="7"/>
      <c r="V642" s="7"/>
      <c r="W642" s="7"/>
      <c r="X642" s="7"/>
      <c r="Y642" s="7"/>
    </row>
    <row r="643" spans="1:25" ht="15">
      <c r="A643" s="81"/>
      <c r="B643" s="7"/>
      <c r="C643" s="7"/>
      <c r="D643" s="7"/>
      <c r="E643" s="7"/>
      <c r="F643" s="7"/>
      <c r="G643" s="7"/>
      <c r="H643" s="7"/>
      <c r="J643" s="7"/>
      <c r="K643" s="7"/>
      <c r="L643" s="7"/>
      <c r="M643" s="7"/>
      <c r="N643" s="7"/>
      <c r="O643" s="7"/>
      <c r="P643" s="7"/>
      <c r="Q643" s="7"/>
      <c r="R643" s="7"/>
      <c r="S643" s="7"/>
      <c r="T643" s="7"/>
      <c r="U643" s="7"/>
      <c r="V643" s="7"/>
      <c r="W643" s="7"/>
      <c r="X643" s="7"/>
      <c r="Y643" s="7"/>
    </row>
    <row r="644" spans="1:25" ht="15">
      <c r="A644" s="81"/>
      <c r="B644" s="7"/>
      <c r="C644" s="7"/>
      <c r="D644" s="7"/>
      <c r="E644" s="7"/>
      <c r="F644" s="7"/>
      <c r="G644" s="7"/>
      <c r="H644" s="7"/>
      <c r="J644" s="7"/>
      <c r="K644" s="7"/>
      <c r="L644" s="7"/>
      <c r="M644" s="7"/>
      <c r="N644" s="7"/>
      <c r="O644" s="7"/>
      <c r="P644" s="7"/>
      <c r="Q644" s="7"/>
      <c r="R644" s="7"/>
      <c r="S644" s="7"/>
      <c r="T644" s="7"/>
      <c r="U644" s="7"/>
      <c r="V644" s="7"/>
      <c r="W644" s="7"/>
      <c r="X644" s="7"/>
      <c r="Y644" s="7"/>
    </row>
    <row r="645" spans="1:25" ht="15">
      <c r="A645" s="81"/>
      <c r="B645" s="7"/>
      <c r="C645" s="7"/>
      <c r="D645" s="7"/>
      <c r="E645" s="7"/>
      <c r="F645" s="7"/>
      <c r="G645" s="7"/>
      <c r="H645" s="7"/>
      <c r="J645" s="7"/>
      <c r="K645" s="7"/>
      <c r="L645" s="7"/>
      <c r="M645" s="7"/>
      <c r="N645" s="7"/>
      <c r="O645" s="7"/>
      <c r="P645" s="7"/>
      <c r="Q645" s="7"/>
      <c r="R645" s="7"/>
      <c r="S645" s="7"/>
      <c r="T645" s="7"/>
      <c r="U645" s="7"/>
      <c r="V645" s="7"/>
      <c r="W645" s="7"/>
      <c r="X645" s="7"/>
      <c r="Y645" s="7"/>
    </row>
    <row r="646" spans="1:25" ht="15">
      <c r="A646" s="81"/>
      <c r="B646" s="7"/>
      <c r="C646" s="7"/>
      <c r="D646" s="7"/>
      <c r="E646" s="7"/>
      <c r="F646" s="7"/>
      <c r="G646" s="7"/>
      <c r="H646" s="7"/>
      <c r="J646" s="7"/>
      <c r="K646" s="7"/>
      <c r="L646" s="7"/>
      <c r="M646" s="7"/>
      <c r="N646" s="7"/>
      <c r="O646" s="7"/>
      <c r="P646" s="7"/>
      <c r="Q646" s="7"/>
      <c r="R646" s="7"/>
      <c r="S646" s="7"/>
      <c r="T646" s="7"/>
      <c r="U646" s="7"/>
      <c r="V646" s="7"/>
      <c r="W646" s="7"/>
      <c r="X646" s="7"/>
      <c r="Y646" s="7"/>
    </row>
    <row r="647" spans="1:25" ht="15">
      <c r="A647" s="81"/>
      <c r="B647" s="7"/>
      <c r="C647" s="7"/>
      <c r="D647" s="7"/>
      <c r="E647" s="7"/>
      <c r="F647" s="7"/>
      <c r="G647" s="7"/>
      <c r="H647" s="7"/>
      <c r="J647" s="7"/>
      <c r="K647" s="7"/>
      <c r="L647" s="7"/>
      <c r="M647" s="7"/>
      <c r="N647" s="7"/>
      <c r="O647" s="7"/>
      <c r="P647" s="7"/>
      <c r="Q647" s="7"/>
      <c r="R647" s="7"/>
      <c r="S647" s="7"/>
      <c r="T647" s="7"/>
      <c r="U647" s="7"/>
      <c r="V647" s="7"/>
      <c r="W647" s="7"/>
      <c r="X647" s="7"/>
      <c r="Y647" s="7"/>
    </row>
    <row r="648" spans="1:25" ht="15">
      <c r="A648" s="81"/>
      <c r="B648" s="7"/>
      <c r="C648" s="7"/>
      <c r="D648" s="7"/>
      <c r="E648" s="7"/>
      <c r="F648" s="7"/>
      <c r="G648" s="7"/>
      <c r="H648" s="7"/>
      <c r="J648" s="7"/>
      <c r="K648" s="7"/>
      <c r="L648" s="7"/>
      <c r="M648" s="7"/>
      <c r="N648" s="7"/>
      <c r="O648" s="7"/>
      <c r="P648" s="7"/>
      <c r="Q648" s="7"/>
      <c r="R648" s="7"/>
      <c r="S648" s="7"/>
      <c r="T648" s="7"/>
      <c r="U648" s="7"/>
      <c r="V648" s="7"/>
      <c r="W648" s="7"/>
      <c r="X648" s="7"/>
      <c r="Y648" s="7"/>
    </row>
    <row r="649" spans="1:25" ht="15">
      <c r="A649" s="81"/>
      <c r="B649" s="7"/>
      <c r="C649" s="7"/>
      <c r="D649" s="7"/>
      <c r="E649" s="7"/>
      <c r="F649" s="7"/>
      <c r="G649" s="7"/>
      <c r="H649" s="7"/>
      <c r="J649" s="7"/>
      <c r="K649" s="7"/>
      <c r="L649" s="7"/>
      <c r="M649" s="7"/>
      <c r="N649" s="7"/>
      <c r="O649" s="7"/>
      <c r="P649" s="7"/>
      <c r="Q649" s="7"/>
      <c r="R649" s="7"/>
      <c r="S649" s="7"/>
      <c r="T649" s="7"/>
      <c r="U649" s="7"/>
      <c r="V649" s="7"/>
      <c r="W649" s="7"/>
      <c r="X649" s="7"/>
      <c r="Y649" s="7"/>
    </row>
    <row r="650" spans="1:25" ht="15">
      <c r="A650" s="81"/>
      <c r="B650" s="7"/>
      <c r="C650" s="7"/>
      <c r="D650" s="7"/>
      <c r="E650" s="7"/>
      <c r="F650" s="7"/>
      <c r="G650" s="7"/>
      <c r="H650" s="7"/>
      <c r="J650" s="7"/>
      <c r="K650" s="7"/>
      <c r="L650" s="7"/>
      <c r="M650" s="7"/>
      <c r="N650" s="7"/>
      <c r="O650" s="7"/>
      <c r="P650" s="7"/>
      <c r="Q650" s="7"/>
      <c r="R650" s="7"/>
      <c r="S650" s="7"/>
      <c r="T650" s="7"/>
      <c r="U650" s="7"/>
      <c r="V650" s="7"/>
      <c r="W650" s="7"/>
      <c r="X650" s="7"/>
      <c r="Y650" s="7"/>
    </row>
    <row r="651" spans="1:25" ht="15">
      <c r="A651" s="81"/>
      <c r="B651" s="7"/>
      <c r="C651" s="7"/>
      <c r="D651" s="7"/>
      <c r="E651" s="7"/>
      <c r="F651" s="7"/>
      <c r="G651" s="7"/>
      <c r="H651" s="7"/>
      <c r="J651" s="7"/>
      <c r="K651" s="7"/>
      <c r="L651" s="7"/>
      <c r="M651" s="7"/>
      <c r="N651" s="7"/>
      <c r="O651" s="7"/>
      <c r="P651" s="7"/>
      <c r="Q651" s="7"/>
      <c r="R651" s="7"/>
      <c r="S651" s="7"/>
      <c r="T651" s="7"/>
      <c r="U651" s="7"/>
      <c r="V651" s="7"/>
      <c r="W651" s="7"/>
      <c r="X651" s="7"/>
      <c r="Y651" s="7"/>
    </row>
    <row r="652" spans="1:25" ht="15">
      <c r="A652" s="81"/>
      <c r="B652" s="7"/>
      <c r="C652" s="7"/>
      <c r="D652" s="7"/>
      <c r="E652" s="7"/>
      <c r="F652" s="7"/>
      <c r="G652" s="7"/>
      <c r="H652" s="7"/>
      <c r="J652" s="7"/>
      <c r="K652" s="7"/>
      <c r="L652" s="7"/>
      <c r="M652" s="7"/>
      <c r="N652" s="7"/>
      <c r="O652" s="7"/>
      <c r="P652" s="7"/>
      <c r="Q652" s="7"/>
      <c r="R652" s="7"/>
      <c r="S652" s="7"/>
      <c r="T652" s="7"/>
      <c r="U652" s="7"/>
      <c r="V652" s="7"/>
      <c r="W652" s="7"/>
      <c r="X652" s="7"/>
      <c r="Y652" s="7"/>
    </row>
    <row r="653" spans="1:25" ht="15">
      <c r="A653" s="81"/>
      <c r="B653" s="7"/>
      <c r="C653" s="7"/>
      <c r="D653" s="7"/>
      <c r="E653" s="7"/>
      <c r="F653" s="7"/>
      <c r="G653" s="7"/>
      <c r="H653" s="7"/>
      <c r="J653" s="7"/>
      <c r="K653" s="7"/>
      <c r="L653" s="7"/>
      <c r="M653" s="7"/>
      <c r="N653" s="7"/>
      <c r="O653" s="7"/>
      <c r="P653" s="7"/>
      <c r="Q653" s="7"/>
      <c r="R653" s="7"/>
      <c r="S653" s="7"/>
      <c r="T653" s="7"/>
      <c r="U653" s="7"/>
      <c r="V653" s="7"/>
      <c r="W653" s="7"/>
      <c r="X653" s="7"/>
      <c r="Y653" s="7"/>
    </row>
    <row r="654" spans="1:25" ht="15">
      <c r="A654" s="81"/>
      <c r="B654" s="7"/>
      <c r="C654" s="7"/>
      <c r="D654" s="7"/>
      <c r="E654" s="7"/>
      <c r="F654" s="7"/>
      <c r="G654" s="7"/>
      <c r="H654" s="7"/>
      <c r="J654" s="7"/>
      <c r="K654" s="7"/>
      <c r="L654" s="7"/>
      <c r="M654" s="7"/>
      <c r="N654" s="7"/>
      <c r="O654" s="7"/>
      <c r="P654" s="7"/>
      <c r="Q654" s="7"/>
      <c r="R654" s="7"/>
      <c r="S654" s="7"/>
      <c r="T654" s="7"/>
      <c r="U654" s="7"/>
      <c r="V654" s="7"/>
      <c r="W654" s="7"/>
      <c r="X654" s="7"/>
      <c r="Y654" s="7"/>
    </row>
    <row r="655" spans="1:25" ht="15">
      <c r="A655" s="81"/>
      <c r="B655" s="7"/>
      <c r="C655" s="7"/>
      <c r="D655" s="7"/>
      <c r="E655" s="7"/>
      <c r="F655" s="7"/>
      <c r="G655" s="7"/>
      <c r="H655" s="7"/>
      <c r="J655" s="7"/>
      <c r="K655" s="7"/>
      <c r="L655" s="7"/>
      <c r="M655" s="7"/>
      <c r="N655" s="7"/>
      <c r="O655" s="7"/>
      <c r="P655" s="7"/>
      <c r="Q655" s="7"/>
      <c r="R655" s="7"/>
      <c r="S655" s="7"/>
      <c r="T655" s="7"/>
      <c r="U655" s="7"/>
      <c r="V655" s="7"/>
      <c r="W655" s="7"/>
      <c r="X655" s="7"/>
      <c r="Y655" s="7"/>
    </row>
    <row r="656" spans="1:25" ht="15">
      <c r="A656" s="81"/>
      <c r="B656" s="7"/>
      <c r="C656" s="7"/>
      <c r="D656" s="7"/>
      <c r="E656" s="7"/>
      <c r="F656" s="7"/>
      <c r="G656" s="7"/>
      <c r="H656" s="7"/>
      <c r="J656" s="7"/>
      <c r="K656" s="7"/>
      <c r="L656" s="7"/>
      <c r="M656" s="7"/>
      <c r="N656" s="7"/>
      <c r="O656" s="7"/>
      <c r="P656" s="7"/>
      <c r="Q656" s="7"/>
      <c r="R656" s="7"/>
      <c r="S656" s="7"/>
      <c r="T656" s="7"/>
      <c r="U656" s="7"/>
      <c r="V656" s="7"/>
      <c r="W656" s="7"/>
      <c r="X656" s="7"/>
      <c r="Y656" s="7"/>
    </row>
    <row r="657" spans="1:25" ht="15">
      <c r="A657" s="81"/>
      <c r="B657" s="7"/>
      <c r="C657" s="7"/>
      <c r="D657" s="7"/>
      <c r="E657" s="7"/>
      <c r="F657" s="7"/>
      <c r="G657" s="7"/>
      <c r="H657" s="7"/>
      <c r="J657" s="7"/>
      <c r="K657" s="7"/>
      <c r="L657" s="7"/>
      <c r="M657" s="7"/>
      <c r="N657" s="7"/>
      <c r="O657" s="7"/>
      <c r="P657" s="7"/>
      <c r="Q657" s="7"/>
      <c r="R657" s="7"/>
      <c r="S657" s="7"/>
      <c r="T657" s="7"/>
      <c r="U657" s="7"/>
      <c r="V657" s="7"/>
      <c r="W657" s="7"/>
      <c r="X657" s="7"/>
      <c r="Y657" s="7"/>
    </row>
    <row r="658" spans="1:25" ht="15">
      <c r="A658" s="81"/>
      <c r="B658" s="7"/>
      <c r="C658" s="7"/>
      <c r="D658" s="7"/>
      <c r="E658" s="7"/>
      <c r="F658" s="7"/>
      <c r="G658" s="7"/>
      <c r="H658" s="7"/>
      <c r="J658" s="7"/>
      <c r="K658" s="7"/>
      <c r="L658" s="7"/>
      <c r="M658" s="7"/>
      <c r="N658" s="7"/>
      <c r="O658" s="7"/>
      <c r="P658" s="7"/>
      <c r="Q658" s="7"/>
      <c r="R658" s="7"/>
      <c r="S658" s="7"/>
      <c r="T658" s="7"/>
      <c r="U658" s="7"/>
      <c r="V658" s="7"/>
      <c r="W658" s="7"/>
      <c r="X658" s="7"/>
      <c r="Y658" s="7"/>
    </row>
    <row r="659" spans="1:25" ht="15">
      <c r="A659" s="81"/>
      <c r="B659" s="7"/>
      <c r="C659" s="7"/>
      <c r="D659" s="7"/>
      <c r="E659" s="7"/>
      <c r="F659" s="7"/>
      <c r="G659" s="7"/>
      <c r="H659" s="7"/>
      <c r="J659" s="7"/>
      <c r="K659" s="7"/>
      <c r="L659" s="7"/>
      <c r="M659" s="7"/>
      <c r="N659" s="7"/>
      <c r="O659" s="7"/>
      <c r="P659" s="7"/>
      <c r="Q659" s="7"/>
      <c r="R659" s="7"/>
      <c r="S659" s="7"/>
      <c r="T659" s="7"/>
      <c r="U659" s="7"/>
      <c r="V659" s="7"/>
      <c r="W659" s="7"/>
      <c r="X659" s="7"/>
      <c r="Y659" s="7"/>
    </row>
    <row r="660" spans="1:25" ht="15">
      <c r="A660" s="81"/>
      <c r="B660" s="7"/>
      <c r="C660" s="7"/>
      <c r="D660" s="7"/>
      <c r="E660" s="7"/>
      <c r="F660" s="7"/>
      <c r="G660" s="7"/>
      <c r="H660" s="7"/>
      <c r="J660" s="7"/>
      <c r="K660" s="7"/>
      <c r="L660" s="7"/>
      <c r="M660" s="7"/>
      <c r="N660" s="7"/>
      <c r="O660" s="7"/>
      <c r="P660" s="7"/>
      <c r="Q660" s="7"/>
      <c r="R660" s="7"/>
      <c r="S660" s="7"/>
      <c r="T660" s="7"/>
      <c r="U660" s="7"/>
      <c r="V660" s="7"/>
      <c r="W660" s="7"/>
      <c r="X660" s="7"/>
      <c r="Y660" s="7"/>
    </row>
    <row r="661" spans="1:25" ht="15">
      <c r="A661" s="81"/>
      <c r="B661" s="7"/>
      <c r="C661" s="7"/>
      <c r="D661" s="7"/>
      <c r="E661" s="7"/>
      <c r="F661" s="7"/>
      <c r="G661" s="7"/>
      <c r="H661" s="7"/>
      <c r="J661" s="7"/>
      <c r="K661" s="7"/>
      <c r="L661" s="7"/>
      <c r="M661" s="7"/>
      <c r="N661" s="7"/>
      <c r="O661" s="7"/>
      <c r="P661" s="7"/>
      <c r="Q661" s="7"/>
      <c r="R661" s="7"/>
      <c r="S661" s="7"/>
      <c r="T661" s="7"/>
      <c r="U661" s="7"/>
      <c r="V661" s="7"/>
      <c r="W661" s="7"/>
      <c r="X661" s="7"/>
      <c r="Y661" s="7"/>
    </row>
    <row r="662" spans="1:25" ht="15">
      <c r="A662" s="81"/>
      <c r="B662" s="7"/>
      <c r="C662" s="7"/>
      <c r="D662" s="7"/>
      <c r="E662" s="7"/>
      <c r="F662" s="7"/>
      <c r="G662" s="7"/>
      <c r="H662" s="7"/>
      <c r="J662" s="7"/>
      <c r="K662" s="7"/>
      <c r="L662" s="7"/>
      <c r="M662" s="7"/>
      <c r="N662" s="7"/>
      <c r="O662" s="7"/>
      <c r="P662" s="7"/>
      <c r="Q662" s="7"/>
      <c r="R662" s="7"/>
      <c r="S662" s="7"/>
      <c r="T662" s="7"/>
      <c r="U662" s="7"/>
      <c r="V662" s="7"/>
      <c r="W662" s="7"/>
      <c r="X662" s="7"/>
      <c r="Y662" s="7"/>
    </row>
    <row r="663" spans="1:25" ht="15">
      <c r="A663" s="81"/>
      <c r="B663" s="7"/>
      <c r="C663" s="7"/>
      <c r="D663" s="7"/>
      <c r="E663" s="7"/>
      <c r="F663" s="7"/>
      <c r="G663" s="7"/>
      <c r="H663" s="7"/>
      <c r="J663" s="7"/>
      <c r="K663" s="7"/>
      <c r="L663" s="7"/>
      <c r="M663" s="7"/>
      <c r="N663" s="7"/>
      <c r="O663" s="7"/>
      <c r="P663" s="7"/>
      <c r="Q663" s="7"/>
      <c r="R663" s="7"/>
      <c r="S663" s="7"/>
      <c r="T663" s="7"/>
      <c r="U663" s="7"/>
      <c r="V663" s="7"/>
      <c r="W663" s="7"/>
      <c r="X663" s="7"/>
      <c r="Y663" s="7"/>
    </row>
    <row r="664" spans="1:25" ht="15">
      <c r="A664" s="81"/>
      <c r="B664" s="7"/>
      <c r="C664" s="7"/>
      <c r="D664" s="7"/>
      <c r="E664" s="7"/>
      <c r="F664" s="7"/>
      <c r="G664" s="7"/>
      <c r="H664" s="7"/>
      <c r="J664" s="7"/>
      <c r="K664" s="7"/>
      <c r="L664" s="7"/>
      <c r="M664" s="7"/>
      <c r="N664" s="7"/>
      <c r="O664" s="7"/>
      <c r="P664" s="7"/>
      <c r="Q664" s="7"/>
      <c r="R664" s="7"/>
      <c r="S664" s="7"/>
      <c r="T664" s="7"/>
      <c r="U664" s="7"/>
      <c r="V664" s="7"/>
      <c r="W664" s="7"/>
      <c r="X664" s="7"/>
      <c r="Y664" s="7"/>
    </row>
    <row r="665" spans="1:25" ht="15">
      <c r="A665" s="81"/>
      <c r="B665" s="7"/>
      <c r="C665" s="7"/>
      <c r="D665" s="7"/>
      <c r="E665" s="7"/>
      <c r="F665" s="7"/>
      <c r="G665" s="7"/>
      <c r="H665" s="7"/>
      <c r="J665" s="7"/>
      <c r="K665" s="7"/>
      <c r="L665" s="7"/>
      <c r="M665" s="7"/>
      <c r="N665" s="7"/>
      <c r="O665" s="7"/>
      <c r="P665" s="7"/>
      <c r="Q665" s="7"/>
      <c r="R665" s="7"/>
      <c r="S665" s="7"/>
      <c r="T665" s="7"/>
      <c r="U665" s="7"/>
      <c r="V665" s="7"/>
      <c r="W665" s="7"/>
      <c r="X665" s="7"/>
      <c r="Y665" s="7"/>
    </row>
    <row r="666" spans="1:25" ht="15">
      <c r="A666" s="81"/>
      <c r="B666" s="7"/>
      <c r="C666" s="7"/>
      <c r="D666" s="7"/>
      <c r="E666" s="7"/>
      <c r="F666" s="7"/>
      <c r="G666" s="7"/>
      <c r="H666" s="7"/>
      <c r="J666" s="7"/>
      <c r="K666" s="7"/>
      <c r="L666" s="7"/>
      <c r="M666" s="7"/>
      <c r="N666" s="7"/>
      <c r="O666" s="7"/>
      <c r="P666" s="7"/>
      <c r="Q666" s="7"/>
      <c r="R666" s="7"/>
      <c r="S666" s="7"/>
      <c r="T666" s="7"/>
      <c r="U666" s="7"/>
      <c r="V666" s="7"/>
      <c r="W666" s="7"/>
      <c r="X666" s="7"/>
      <c r="Y666" s="7"/>
    </row>
    <row r="667" spans="1:25" ht="15">
      <c r="A667" s="81"/>
      <c r="B667" s="7"/>
      <c r="C667" s="7"/>
      <c r="D667" s="7"/>
      <c r="E667" s="7"/>
      <c r="F667" s="7"/>
      <c r="G667" s="7"/>
      <c r="H667" s="7"/>
      <c r="J667" s="7"/>
      <c r="K667" s="7"/>
      <c r="L667" s="7"/>
      <c r="M667" s="7"/>
      <c r="N667" s="7"/>
      <c r="O667" s="7"/>
      <c r="P667" s="7"/>
      <c r="Q667" s="7"/>
      <c r="R667" s="7"/>
      <c r="S667" s="7"/>
      <c r="T667" s="7"/>
      <c r="U667" s="7"/>
      <c r="V667" s="7"/>
      <c r="W667" s="7"/>
      <c r="X667" s="7"/>
      <c r="Y667" s="7"/>
    </row>
    <row r="668" spans="1:25" ht="15">
      <c r="A668" s="81"/>
      <c r="B668" s="7"/>
      <c r="C668" s="7"/>
      <c r="D668" s="7"/>
      <c r="E668" s="7"/>
      <c r="F668" s="7"/>
      <c r="G668" s="7"/>
      <c r="H668" s="7"/>
      <c r="J668" s="7"/>
      <c r="K668" s="7"/>
      <c r="L668" s="7"/>
      <c r="M668" s="7"/>
      <c r="N668" s="7"/>
      <c r="O668" s="7"/>
      <c r="P668" s="7"/>
      <c r="Q668" s="7"/>
      <c r="R668" s="7"/>
      <c r="S668" s="7"/>
      <c r="T668" s="7"/>
      <c r="U668" s="7"/>
      <c r="V668" s="7"/>
      <c r="W668" s="7"/>
      <c r="X668" s="7"/>
      <c r="Y668" s="7"/>
    </row>
    <row r="669" spans="1:25" ht="15">
      <c r="A669" s="81"/>
      <c r="B669" s="7"/>
      <c r="C669" s="7"/>
      <c r="D669" s="7"/>
      <c r="E669" s="7"/>
      <c r="F669" s="7"/>
      <c r="G669" s="7"/>
      <c r="H669" s="7"/>
      <c r="J669" s="7"/>
      <c r="K669" s="7"/>
      <c r="L669" s="7"/>
      <c r="M669" s="7"/>
      <c r="N669" s="7"/>
      <c r="O669" s="7"/>
      <c r="P669" s="7"/>
      <c r="Q669" s="7"/>
      <c r="R669" s="7"/>
      <c r="S669" s="7"/>
      <c r="T669" s="7"/>
      <c r="U669" s="7"/>
      <c r="V669" s="7"/>
      <c r="W669" s="7"/>
      <c r="X669" s="7"/>
      <c r="Y669" s="7"/>
    </row>
    <row r="670" spans="1:25" ht="15">
      <c r="A670" s="81"/>
      <c r="B670" s="7"/>
      <c r="C670" s="7"/>
      <c r="D670" s="7"/>
      <c r="E670" s="7"/>
      <c r="F670" s="7"/>
      <c r="G670" s="7"/>
      <c r="H670" s="7"/>
      <c r="J670" s="7"/>
      <c r="K670" s="7"/>
      <c r="L670" s="7"/>
      <c r="M670" s="7"/>
      <c r="N670" s="7"/>
      <c r="O670" s="7"/>
      <c r="P670" s="7"/>
      <c r="Q670" s="7"/>
      <c r="R670" s="7"/>
      <c r="S670" s="7"/>
      <c r="T670" s="7"/>
      <c r="U670" s="7"/>
      <c r="V670" s="7"/>
      <c r="W670" s="7"/>
      <c r="X670" s="7"/>
      <c r="Y670" s="7"/>
    </row>
    <row r="671" spans="1:25" ht="15">
      <c r="A671" s="81"/>
      <c r="B671" s="7"/>
      <c r="C671" s="7"/>
      <c r="D671" s="7"/>
      <c r="E671" s="7"/>
      <c r="F671" s="7"/>
      <c r="G671" s="7"/>
      <c r="H671" s="7"/>
      <c r="J671" s="7"/>
      <c r="K671" s="7"/>
      <c r="L671" s="7"/>
      <c r="M671" s="7"/>
      <c r="N671" s="7"/>
      <c r="O671" s="7"/>
      <c r="P671" s="7"/>
      <c r="Q671" s="7"/>
      <c r="R671" s="7"/>
      <c r="S671" s="7"/>
      <c r="T671" s="7"/>
      <c r="U671" s="7"/>
      <c r="V671" s="7"/>
      <c r="W671" s="7"/>
      <c r="X671" s="7"/>
      <c r="Y671" s="7"/>
    </row>
    <row r="672" spans="1:25" ht="15">
      <c r="A672" s="81"/>
      <c r="B672" s="7"/>
      <c r="C672" s="7"/>
      <c r="D672" s="7"/>
      <c r="E672" s="7"/>
      <c r="F672" s="7"/>
      <c r="G672" s="7"/>
      <c r="H672" s="7"/>
      <c r="J672" s="7"/>
      <c r="K672" s="7"/>
      <c r="L672" s="7"/>
      <c r="M672" s="7"/>
      <c r="N672" s="7"/>
      <c r="O672" s="7"/>
      <c r="P672" s="7"/>
      <c r="Q672" s="7"/>
      <c r="R672" s="7"/>
      <c r="S672" s="7"/>
      <c r="T672" s="7"/>
      <c r="U672" s="7"/>
      <c r="V672" s="7"/>
      <c r="W672" s="7"/>
      <c r="X672" s="7"/>
      <c r="Y672" s="7"/>
    </row>
    <row r="673" spans="1:25" ht="15">
      <c r="A673" s="81"/>
      <c r="B673" s="7"/>
      <c r="C673" s="7"/>
      <c r="D673" s="7"/>
      <c r="E673" s="7"/>
      <c r="F673" s="7"/>
      <c r="G673" s="7"/>
      <c r="H673" s="7"/>
      <c r="J673" s="7"/>
      <c r="K673" s="7"/>
      <c r="L673" s="7"/>
      <c r="M673" s="7"/>
      <c r="N673" s="7"/>
      <c r="O673" s="7"/>
      <c r="P673" s="7"/>
      <c r="Q673" s="7"/>
      <c r="R673" s="7"/>
      <c r="S673" s="7"/>
      <c r="T673" s="7"/>
      <c r="U673" s="7"/>
      <c r="V673" s="7"/>
      <c r="W673" s="7"/>
      <c r="X673" s="7"/>
      <c r="Y673" s="7"/>
    </row>
    <row r="674" spans="1:25" ht="15">
      <c r="A674" s="81"/>
      <c r="B674" s="7"/>
      <c r="C674" s="7"/>
      <c r="D674" s="7"/>
      <c r="E674" s="7"/>
      <c r="F674" s="7"/>
      <c r="G674" s="7"/>
      <c r="H674" s="7"/>
      <c r="J674" s="7"/>
      <c r="K674" s="7"/>
      <c r="L674" s="7"/>
      <c r="M674" s="7"/>
      <c r="N674" s="7"/>
      <c r="O674" s="7"/>
      <c r="P674" s="7"/>
      <c r="Q674" s="7"/>
      <c r="R674" s="7"/>
      <c r="S674" s="7"/>
      <c r="T674" s="7"/>
      <c r="U674" s="7"/>
      <c r="V674" s="7"/>
      <c r="W674" s="7"/>
      <c r="X674" s="7"/>
      <c r="Y674" s="7"/>
    </row>
    <row r="675" spans="1:25" ht="15">
      <c r="A675" s="81"/>
      <c r="B675" s="7"/>
      <c r="C675" s="7"/>
      <c r="D675" s="7"/>
      <c r="E675" s="7"/>
      <c r="F675" s="7"/>
      <c r="G675" s="7"/>
      <c r="H675" s="7"/>
      <c r="J675" s="7"/>
      <c r="K675" s="7"/>
      <c r="L675" s="7"/>
      <c r="M675" s="7"/>
      <c r="N675" s="7"/>
      <c r="O675" s="7"/>
      <c r="P675" s="7"/>
      <c r="Q675" s="7"/>
      <c r="R675" s="7"/>
      <c r="S675" s="7"/>
      <c r="T675" s="7"/>
      <c r="U675" s="7"/>
      <c r="V675" s="7"/>
      <c r="W675" s="7"/>
      <c r="X675" s="7"/>
      <c r="Y675" s="7"/>
    </row>
    <row r="676" spans="1:25" ht="15">
      <c r="A676" s="81"/>
      <c r="B676" s="7"/>
      <c r="C676" s="7"/>
      <c r="D676" s="7"/>
      <c r="E676" s="7"/>
      <c r="F676" s="7"/>
      <c r="G676" s="7"/>
      <c r="H676" s="7"/>
      <c r="J676" s="7"/>
      <c r="K676" s="7"/>
      <c r="L676" s="7"/>
      <c r="M676" s="7"/>
      <c r="N676" s="7"/>
      <c r="O676" s="7"/>
      <c r="P676" s="7"/>
      <c r="Q676" s="7"/>
      <c r="R676" s="7"/>
      <c r="S676" s="7"/>
      <c r="T676" s="7"/>
      <c r="U676" s="7"/>
      <c r="V676" s="7"/>
      <c r="W676" s="7"/>
      <c r="X676" s="7"/>
      <c r="Y676" s="7"/>
    </row>
    <row r="677" spans="1:25" ht="15">
      <c r="A677" s="81"/>
      <c r="B677" s="7"/>
      <c r="C677" s="7"/>
      <c r="D677" s="7"/>
      <c r="E677" s="7"/>
      <c r="F677" s="7"/>
      <c r="G677" s="7"/>
      <c r="H677" s="7"/>
      <c r="J677" s="7"/>
      <c r="K677" s="7"/>
      <c r="L677" s="7"/>
      <c r="M677" s="7"/>
      <c r="N677" s="7"/>
      <c r="O677" s="7"/>
      <c r="P677" s="7"/>
      <c r="Q677" s="7"/>
      <c r="R677" s="7"/>
      <c r="S677" s="7"/>
      <c r="T677" s="7"/>
      <c r="U677" s="7"/>
      <c r="V677" s="7"/>
      <c r="W677" s="7"/>
      <c r="X677" s="7"/>
      <c r="Y677" s="7"/>
    </row>
    <row r="678" spans="1:25" ht="15">
      <c r="A678" s="81"/>
      <c r="B678" s="7"/>
      <c r="C678" s="7"/>
      <c r="D678" s="7"/>
      <c r="E678" s="7"/>
      <c r="F678" s="7"/>
      <c r="G678" s="7"/>
      <c r="H678" s="7"/>
      <c r="J678" s="7"/>
      <c r="K678" s="7"/>
      <c r="L678" s="7"/>
      <c r="M678" s="7"/>
      <c r="N678" s="7"/>
      <c r="O678" s="7"/>
      <c r="P678" s="7"/>
      <c r="Q678" s="7"/>
      <c r="R678" s="7"/>
      <c r="S678" s="7"/>
      <c r="T678" s="7"/>
      <c r="U678" s="7"/>
      <c r="V678" s="7"/>
      <c r="W678" s="7"/>
      <c r="X678" s="7"/>
      <c r="Y678" s="7"/>
    </row>
    <row r="679" spans="1:25" ht="15">
      <c r="A679" s="81"/>
      <c r="B679" s="7"/>
      <c r="C679" s="7"/>
      <c r="D679" s="7"/>
      <c r="E679" s="7"/>
      <c r="F679" s="7"/>
      <c r="G679" s="7"/>
      <c r="H679" s="7"/>
      <c r="J679" s="7"/>
      <c r="K679" s="7"/>
      <c r="L679" s="7"/>
      <c r="M679" s="7"/>
      <c r="N679" s="7"/>
      <c r="O679" s="7"/>
      <c r="P679" s="7"/>
      <c r="Q679" s="7"/>
      <c r="R679" s="7"/>
      <c r="S679" s="7"/>
      <c r="T679" s="7"/>
      <c r="U679" s="7"/>
      <c r="V679" s="7"/>
      <c r="W679" s="7"/>
      <c r="X679" s="7"/>
      <c r="Y679" s="7"/>
    </row>
    <row r="680" spans="1:25" ht="15">
      <c r="A680" s="81"/>
      <c r="B680" s="7"/>
      <c r="C680" s="7"/>
      <c r="D680" s="7"/>
      <c r="E680" s="7"/>
      <c r="F680" s="7"/>
      <c r="G680" s="7"/>
      <c r="H680" s="7"/>
      <c r="J680" s="7"/>
      <c r="K680" s="7"/>
      <c r="L680" s="7"/>
      <c r="M680" s="7"/>
      <c r="N680" s="7"/>
      <c r="O680" s="7"/>
      <c r="P680" s="7"/>
      <c r="Q680" s="7"/>
      <c r="R680" s="7"/>
      <c r="S680" s="7"/>
      <c r="T680" s="7"/>
      <c r="U680" s="7"/>
      <c r="V680" s="7"/>
      <c r="W680" s="7"/>
      <c r="X680" s="7"/>
      <c r="Y680" s="7"/>
    </row>
    <row r="681" spans="1:25" ht="15">
      <c r="A681" s="81"/>
      <c r="B681" s="7"/>
      <c r="C681" s="7"/>
      <c r="D681" s="7"/>
      <c r="E681" s="7"/>
      <c r="F681" s="7"/>
      <c r="G681" s="7"/>
      <c r="H681" s="7"/>
      <c r="J681" s="7"/>
      <c r="K681" s="7"/>
      <c r="L681" s="7"/>
      <c r="M681" s="7"/>
      <c r="N681" s="7"/>
      <c r="O681" s="7"/>
      <c r="P681" s="7"/>
      <c r="Q681" s="7"/>
      <c r="R681" s="7"/>
      <c r="S681" s="7"/>
      <c r="T681" s="7"/>
      <c r="U681" s="7"/>
      <c r="V681" s="7"/>
      <c r="W681" s="7"/>
      <c r="X681" s="7"/>
      <c r="Y681" s="7"/>
    </row>
    <row r="682" spans="1:25" ht="15">
      <c r="A682" s="81"/>
      <c r="B682" s="7"/>
      <c r="C682" s="7"/>
      <c r="D682" s="7"/>
      <c r="E682" s="7"/>
      <c r="F682" s="7"/>
      <c r="G682" s="7"/>
      <c r="H682" s="7"/>
      <c r="J682" s="7"/>
      <c r="K682" s="7"/>
      <c r="L682" s="7"/>
      <c r="M682" s="7"/>
      <c r="N682" s="7"/>
      <c r="O682" s="7"/>
      <c r="P682" s="7"/>
      <c r="Q682" s="7"/>
      <c r="R682" s="7"/>
      <c r="S682" s="7"/>
      <c r="T682" s="7"/>
      <c r="U682" s="7"/>
      <c r="V682" s="7"/>
      <c r="W682" s="7"/>
      <c r="X682" s="7"/>
      <c r="Y682" s="7"/>
    </row>
    <row r="683" spans="1:25" ht="15">
      <c r="A683" s="81"/>
      <c r="B683" s="7"/>
      <c r="C683" s="7"/>
      <c r="D683" s="7"/>
      <c r="E683" s="7"/>
      <c r="F683" s="7"/>
      <c r="G683" s="7"/>
      <c r="H683" s="7"/>
      <c r="J683" s="7"/>
      <c r="K683" s="7"/>
      <c r="L683" s="7"/>
      <c r="M683" s="7"/>
      <c r="N683" s="7"/>
      <c r="O683" s="7"/>
      <c r="P683" s="7"/>
      <c r="Q683" s="7"/>
      <c r="R683" s="7"/>
      <c r="S683" s="7"/>
      <c r="T683" s="7"/>
      <c r="U683" s="7"/>
      <c r="V683" s="7"/>
      <c r="W683" s="7"/>
      <c r="X683" s="7"/>
      <c r="Y683" s="7"/>
    </row>
    <row r="684" spans="1:25" ht="15">
      <c r="A684" s="81"/>
      <c r="B684" s="7"/>
      <c r="C684" s="7"/>
      <c r="D684" s="7"/>
      <c r="E684" s="7"/>
      <c r="F684" s="7"/>
      <c r="G684" s="7"/>
      <c r="H684" s="7"/>
      <c r="J684" s="7"/>
      <c r="K684" s="7"/>
      <c r="L684" s="7"/>
      <c r="M684" s="7"/>
      <c r="N684" s="7"/>
      <c r="O684" s="7"/>
      <c r="P684" s="7"/>
      <c r="Q684" s="7"/>
      <c r="R684" s="7"/>
      <c r="S684" s="7"/>
      <c r="T684" s="7"/>
      <c r="U684" s="7"/>
      <c r="V684" s="7"/>
      <c r="W684" s="7"/>
      <c r="X684" s="7"/>
      <c r="Y684" s="7"/>
    </row>
    <row r="685" spans="1:25" ht="15">
      <c r="A685" s="81"/>
      <c r="B685" s="7"/>
      <c r="C685" s="7"/>
      <c r="D685" s="7"/>
      <c r="E685" s="7"/>
      <c r="F685" s="7"/>
      <c r="G685" s="7"/>
      <c r="H685" s="7"/>
      <c r="J685" s="7"/>
      <c r="K685" s="7"/>
      <c r="L685" s="7"/>
      <c r="M685" s="7"/>
      <c r="N685" s="7"/>
      <c r="O685" s="7"/>
      <c r="P685" s="7"/>
      <c r="Q685" s="7"/>
      <c r="R685" s="7"/>
      <c r="S685" s="7"/>
      <c r="T685" s="7"/>
      <c r="U685" s="7"/>
      <c r="V685" s="7"/>
      <c r="W685" s="7"/>
      <c r="X685" s="7"/>
      <c r="Y685" s="7"/>
    </row>
    <row r="686" spans="1:25" ht="15">
      <c r="A686" s="81"/>
      <c r="B686" s="7"/>
      <c r="C686" s="7"/>
      <c r="D686" s="7"/>
      <c r="E686" s="7"/>
      <c r="F686" s="7"/>
      <c r="G686" s="7"/>
      <c r="H686" s="7"/>
      <c r="J686" s="7"/>
      <c r="K686" s="7"/>
      <c r="L686" s="7"/>
      <c r="M686" s="7"/>
      <c r="N686" s="7"/>
      <c r="O686" s="7"/>
      <c r="P686" s="7"/>
      <c r="Q686" s="7"/>
      <c r="R686" s="7"/>
      <c r="S686" s="7"/>
      <c r="T686" s="7"/>
      <c r="U686" s="7"/>
      <c r="V686" s="7"/>
      <c r="W686" s="7"/>
      <c r="X686" s="7"/>
      <c r="Y686" s="7"/>
    </row>
    <row r="687" spans="1:25" ht="15">
      <c r="A687" s="81"/>
      <c r="B687" s="7"/>
      <c r="C687" s="7"/>
      <c r="D687" s="7"/>
      <c r="E687" s="7"/>
      <c r="F687" s="7"/>
      <c r="G687" s="7"/>
      <c r="H687" s="7"/>
      <c r="J687" s="7"/>
      <c r="K687" s="7"/>
      <c r="L687" s="7"/>
      <c r="M687" s="7"/>
      <c r="N687" s="7"/>
      <c r="O687" s="7"/>
      <c r="P687" s="7"/>
      <c r="Q687" s="7"/>
      <c r="R687" s="7"/>
      <c r="S687" s="7"/>
      <c r="T687" s="7"/>
      <c r="U687" s="7"/>
      <c r="V687" s="7"/>
      <c r="W687" s="7"/>
      <c r="X687" s="7"/>
      <c r="Y687" s="7"/>
    </row>
    <row r="688" spans="1:25" ht="15">
      <c r="A688" s="81"/>
      <c r="B688" s="7"/>
      <c r="C688" s="7"/>
      <c r="D688" s="7"/>
      <c r="E688" s="7"/>
      <c r="F688" s="7"/>
      <c r="G688" s="7"/>
      <c r="H688" s="7"/>
      <c r="J688" s="7"/>
      <c r="K688" s="7"/>
      <c r="L688" s="7"/>
      <c r="M688" s="7"/>
      <c r="N688" s="7"/>
      <c r="O688" s="7"/>
      <c r="P688" s="7"/>
      <c r="Q688" s="7"/>
      <c r="R688" s="7"/>
      <c r="S688" s="7"/>
      <c r="T688" s="7"/>
      <c r="U688" s="7"/>
      <c r="V688" s="7"/>
      <c r="W688" s="7"/>
      <c r="X688" s="7"/>
      <c r="Y688" s="7"/>
    </row>
    <row r="689" spans="1:25" ht="15">
      <c r="A689" s="81"/>
      <c r="B689" s="7"/>
      <c r="C689" s="7"/>
      <c r="D689" s="7"/>
      <c r="E689" s="7"/>
      <c r="F689" s="7"/>
      <c r="G689" s="7"/>
      <c r="H689" s="7"/>
      <c r="J689" s="7"/>
      <c r="K689" s="7"/>
      <c r="L689" s="7"/>
      <c r="M689" s="7"/>
      <c r="N689" s="7"/>
      <c r="O689" s="7"/>
      <c r="P689" s="7"/>
      <c r="Q689" s="7"/>
      <c r="R689" s="7"/>
      <c r="S689" s="7"/>
      <c r="T689" s="7"/>
      <c r="U689" s="7"/>
      <c r="V689" s="7"/>
      <c r="W689" s="7"/>
      <c r="X689" s="7"/>
      <c r="Y689" s="7"/>
    </row>
    <row r="690" spans="1:25" ht="15">
      <c r="A690" s="81"/>
      <c r="B690" s="7"/>
      <c r="C690" s="7"/>
      <c r="D690" s="7"/>
      <c r="E690" s="7"/>
      <c r="F690" s="7"/>
      <c r="G690" s="7"/>
      <c r="H690" s="7"/>
      <c r="J690" s="7"/>
      <c r="K690" s="7"/>
      <c r="L690" s="7"/>
      <c r="M690" s="7"/>
      <c r="N690" s="7"/>
      <c r="O690" s="7"/>
      <c r="P690" s="7"/>
      <c r="Q690" s="7"/>
      <c r="R690" s="7"/>
      <c r="S690" s="7"/>
      <c r="T690" s="7"/>
      <c r="U690" s="7"/>
      <c r="V690" s="7"/>
      <c r="W690" s="7"/>
      <c r="X690" s="7"/>
      <c r="Y690" s="7"/>
    </row>
    <row r="691" spans="1:25" ht="15">
      <c r="A691" s="81"/>
      <c r="B691" s="7"/>
      <c r="C691" s="7"/>
      <c r="D691" s="7"/>
      <c r="E691" s="7"/>
      <c r="F691" s="7"/>
      <c r="G691" s="7"/>
      <c r="H691" s="7"/>
      <c r="J691" s="7"/>
      <c r="K691" s="7"/>
      <c r="L691" s="7"/>
      <c r="M691" s="7"/>
      <c r="N691" s="7"/>
      <c r="O691" s="7"/>
      <c r="P691" s="7"/>
      <c r="Q691" s="7"/>
      <c r="R691" s="7"/>
      <c r="S691" s="7"/>
      <c r="T691" s="7"/>
      <c r="U691" s="7"/>
      <c r="V691" s="7"/>
      <c r="W691" s="7"/>
      <c r="X691" s="7"/>
      <c r="Y691" s="7"/>
    </row>
    <row r="692" spans="1:25" ht="15">
      <c r="A692" s="81"/>
      <c r="B692" s="7"/>
      <c r="C692" s="7"/>
      <c r="D692" s="7"/>
      <c r="E692" s="7"/>
      <c r="F692" s="7"/>
      <c r="G692" s="7"/>
      <c r="H692" s="7"/>
      <c r="J692" s="7"/>
      <c r="K692" s="7"/>
      <c r="L692" s="7"/>
      <c r="M692" s="7"/>
      <c r="N692" s="7"/>
      <c r="O692" s="7"/>
      <c r="P692" s="7"/>
      <c r="Q692" s="7"/>
      <c r="R692" s="7"/>
      <c r="S692" s="7"/>
      <c r="T692" s="7"/>
      <c r="U692" s="7"/>
      <c r="V692" s="7"/>
      <c r="W692" s="7"/>
      <c r="X692" s="7"/>
      <c r="Y692" s="7"/>
    </row>
    <row r="693" spans="1:25" ht="15">
      <c r="A693" s="81"/>
      <c r="B693" s="7"/>
      <c r="C693" s="7"/>
      <c r="D693" s="7"/>
      <c r="E693" s="7"/>
      <c r="F693" s="7"/>
      <c r="G693" s="7"/>
      <c r="H693" s="7"/>
      <c r="J693" s="7"/>
      <c r="K693" s="7"/>
      <c r="L693" s="7"/>
      <c r="M693" s="7"/>
      <c r="N693" s="7"/>
      <c r="O693" s="7"/>
      <c r="P693" s="7"/>
      <c r="Q693" s="7"/>
      <c r="R693" s="7"/>
      <c r="S693" s="7"/>
      <c r="T693" s="7"/>
      <c r="U693" s="7"/>
      <c r="V693" s="7"/>
      <c r="W693" s="7"/>
      <c r="X693" s="7"/>
      <c r="Y693" s="7"/>
    </row>
    <row r="694" spans="1:25" ht="15">
      <c r="A694" s="81"/>
      <c r="B694" s="7"/>
      <c r="C694" s="7"/>
      <c r="D694" s="7"/>
      <c r="E694" s="7"/>
      <c r="F694" s="7"/>
      <c r="G694" s="7"/>
      <c r="H694" s="7"/>
      <c r="J694" s="7"/>
      <c r="K694" s="7"/>
      <c r="L694" s="7"/>
      <c r="M694" s="7"/>
      <c r="N694" s="7"/>
      <c r="O694" s="7"/>
      <c r="P694" s="7"/>
      <c r="Q694" s="7"/>
      <c r="R694" s="7"/>
      <c r="S694" s="7"/>
      <c r="T694" s="7"/>
      <c r="U694" s="7"/>
      <c r="V694" s="7"/>
      <c r="W694" s="7"/>
      <c r="X694" s="7"/>
      <c r="Y694" s="7"/>
    </row>
    <row r="695" spans="1:25" ht="15">
      <c r="A695" s="81"/>
      <c r="B695" s="7"/>
      <c r="C695" s="7"/>
      <c r="D695" s="7"/>
      <c r="E695" s="7"/>
      <c r="F695" s="7"/>
      <c r="G695" s="7"/>
      <c r="H695" s="7"/>
      <c r="J695" s="7"/>
      <c r="K695" s="7"/>
      <c r="L695" s="7"/>
      <c r="M695" s="7"/>
      <c r="N695" s="7"/>
      <c r="O695" s="7"/>
      <c r="P695" s="7"/>
      <c r="Q695" s="7"/>
      <c r="R695" s="7"/>
      <c r="S695" s="7"/>
      <c r="T695" s="7"/>
      <c r="U695" s="7"/>
      <c r="V695" s="7"/>
      <c r="W695" s="7"/>
      <c r="X695" s="7"/>
      <c r="Y695" s="7"/>
    </row>
    <row r="696" spans="1:25" ht="15">
      <c r="A696" s="81"/>
      <c r="B696" s="7"/>
      <c r="C696" s="7"/>
      <c r="D696" s="7"/>
      <c r="E696" s="7"/>
      <c r="F696" s="7"/>
      <c r="G696" s="7"/>
      <c r="H696" s="7"/>
      <c r="J696" s="7"/>
      <c r="K696" s="7"/>
      <c r="L696" s="7"/>
      <c r="M696" s="7"/>
      <c r="N696" s="7"/>
      <c r="O696" s="7"/>
      <c r="P696" s="7"/>
      <c r="Q696" s="7"/>
      <c r="R696" s="7"/>
      <c r="S696" s="7"/>
      <c r="T696" s="7"/>
      <c r="U696" s="7"/>
      <c r="V696" s="7"/>
      <c r="W696" s="7"/>
      <c r="X696" s="7"/>
      <c r="Y696" s="7"/>
    </row>
    <row r="697" spans="1:25" ht="15">
      <c r="A697" s="81"/>
      <c r="B697" s="7"/>
      <c r="C697" s="7"/>
      <c r="D697" s="7"/>
      <c r="E697" s="7"/>
      <c r="F697" s="7"/>
      <c r="G697" s="7"/>
      <c r="H697" s="7"/>
      <c r="J697" s="7"/>
      <c r="K697" s="7"/>
      <c r="L697" s="7"/>
      <c r="M697" s="7"/>
      <c r="N697" s="7"/>
      <c r="O697" s="7"/>
      <c r="P697" s="7"/>
      <c r="Q697" s="7"/>
      <c r="R697" s="7"/>
      <c r="S697" s="7"/>
      <c r="T697" s="7"/>
      <c r="U697" s="7"/>
      <c r="V697" s="7"/>
      <c r="W697" s="7"/>
      <c r="X697" s="7"/>
      <c r="Y697" s="7"/>
    </row>
    <row r="698" spans="1:25" ht="15">
      <c r="A698" s="81"/>
      <c r="B698" s="7"/>
      <c r="C698" s="7"/>
      <c r="D698" s="7"/>
      <c r="E698" s="7"/>
      <c r="F698" s="7"/>
      <c r="G698" s="7"/>
      <c r="H698" s="7"/>
      <c r="J698" s="7"/>
      <c r="K698" s="7"/>
      <c r="L698" s="7"/>
      <c r="M698" s="7"/>
      <c r="N698" s="7"/>
      <c r="O698" s="7"/>
      <c r="P698" s="7"/>
      <c r="Q698" s="7"/>
      <c r="R698" s="7"/>
      <c r="S698" s="7"/>
      <c r="T698" s="7"/>
      <c r="U698" s="7"/>
      <c r="V698" s="7"/>
      <c r="W698" s="7"/>
      <c r="X698" s="7"/>
      <c r="Y698" s="7"/>
    </row>
    <row r="699" spans="1:25" ht="15">
      <c r="A699" s="81"/>
      <c r="B699" s="7"/>
      <c r="C699" s="7"/>
      <c r="D699" s="7"/>
      <c r="E699" s="7"/>
      <c r="F699" s="7"/>
      <c r="G699" s="7"/>
      <c r="H699" s="7"/>
      <c r="J699" s="7"/>
      <c r="K699" s="7"/>
      <c r="L699" s="7"/>
      <c r="M699" s="7"/>
      <c r="N699" s="7"/>
      <c r="O699" s="7"/>
      <c r="P699" s="7"/>
      <c r="Q699" s="7"/>
      <c r="R699" s="7"/>
      <c r="S699" s="7"/>
      <c r="T699" s="7"/>
      <c r="U699" s="7"/>
      <c r="V699" s="7"/>
      <c r="W699" s="7"/>
      <c r="X699" s="7"/>
      <c r="Y699" s="7"/>
    </row>
    <row r="700" spans="1:25" ht="15">
      <c r="A700" s="81"/>
      <c r="B700" s="7"/>
      <c r="C700" s="7"/>
      <c r="D700" s="7"/>
      <c r="E700" s="7"/>
      <c r="F700" s="7"/>
      <c r="G700" s="7"/>
      <c r="H700" s="7"/>
      <c r="J700" s="7"/>
      <c r="K700" s="7"/>
      <c r="L700" s="7"/>
      <c r="M700" s="7"/>
      <c r="N700" s="7"/>
      <c r="O700" s="7"/>
      <c r="P700" s="7"/>
      <c r="Q700" s="7"/>
      <c r="R700" s="7"/>
      <c r="S700" s="7"/>
      <c r="T700" s="7"/>
      <c r="U700" s="7"/>
      <c r="V700" s="7"/>
      <c r="W700" s="7"/>
      <c r="X700" s="7"/>
      <c r="Y700" s="7"/>
    </row>
    <row r="701" spans="1:25" ht="15">
      <c r="A701" s="81"/>
      <c r="B701" s="7"/>
      <c r="C701" s="7"/>
      <c r="D701" s="7"/>
      <c r="E701" s="7"/>
      <c r="F701" s="7"/>
      <c r="G701" s="7"/>
      <c r="H701" s="7"/>
      <c r="J701" s="7"/>
      <c r="K701" s="7"/>
      <c r="L701" s="7"/>
      <c r="M701" s="7"/>
      <c r="N701" s="7"/>
      <c r="O701" s="7"/>
      <c r="P701" s="7"/>
      <c r="Q701" s="7"/>
      <c r="R701" s="7"/>
      <c r="S701" s="7"/>
      <c r="T701" s="7"/>
      <c r="U701" s="7"/>
      <c r="V701" s="7"/>
      <c r="W701" s="7"/>
      <c r="X701" s="7"/>
      <c r="Y701" s="7"/>
    </row>
    <row r="702" spans="1:25" ht="15">
      <c r="A702" s="81"/>
      <c r="B702" s="7"/>
      <c r="C702" s="7"/>
      <c r="D702" s="7"/>
      <c r="E702" s="7"/>
      <c r="F702" s="7"/>
      <c r="G702" s="7"/>
      <c r="H702" s="7"/>
      <c r="J702" s="7"/>
      <c r="K702" s="7"/>
      <c r="L702" s="7"/>
      <c r="M702" s="7"/>
      <c r="N702" s="7"/>
      <c r="O702" s="7"/>
      <c r="P702" s="7"/>
      <c r="Q702" s="7"/>
      <c r="R702" s="7"/>
      <c r="S702" s="7"/>
      <c r="T702" s="7"/>
      <c r="U702" s="7"/>
      <c r="V702" s="7"/>
      <c r="W702" s="7"/>
      <c r="X702" s="7"/>
      <c r="Y702" s="7"/>
    </row>
    <row r="703" spans="1:25" ht="15">
      <c r="A703" s="81"/>
      <c r="B703" s="7"/>
      <c r="C703" s="7"/>
      <c r="D703" s="7"/>
      <c r="E703" s="7"/>
      <c r="F703" s="7"/>
      <c r="G703" s="7"/>
      <c r="H703" s="7"/>
      <c r="J703" s="7"/>
      <c r="K703" s="7"/>
      <c r="L703" s="7"/>
      <c r="M703" s="7"/>
      <c r="N703" s="7"/>
      <c r="O703" s="7"/>
      <c r="P703" s="7"/>
      <c r="Q703" s="7"/>
      <c r="R703" s="7"/>
      <c r="S703" s="7"/>
      <c r="T703" s="7"/>
      <c r="U703" s="7"/>
      <c r="V703" s="7"/>
      <c r="W703" s="7"/>
      <c r="X703" s="7"/>
      <c r="Y703" s="7"/>
    </row>
    <row r="704" spans="1:25" ht="15">
      <c r="A704" s="81"/>
      <c r="B704" s="7"/>
      <c r="C704" s="7"/>
      <c r="D704" s="7"/>
      <c r="E704" s="7"/>
      <c r="F704" s="7"/>
      <c r="G704" s="7"/>
      <c r="H704" s="7"/>
      <c r="J704" s="7"/>
      <c r="K704" s="7"/>
      <c r="L704" s="7"/>
      <c r="M704" s="7"/>
      <c r="N704" s="7"/>
      <c r="O704" s="7"/>
      <c r="P704" s="7"/>
      <c r="Q704" s="7"/>
      <c r="R704" s="7"/>
      <c r="S704" s="7"/>
      <c r="T704" s="7"/>
      <c r="U704" s="7"/>
      <c r="V704" s="7"/>
      <c r="W704" s="7"/>
      <c r="X704" s="7"/>
      <c r="Y704" s="7"/>
    </row>
    <row r="705" spans="1:25" ht="15">
      <c r="A705" s="81"/>
      <c r="B705" s="7"/>
      <c r="C705" s="7"/>
      <c r="D705" s="7"/>
      <c r="E705" s="7"/>
      <c r="F705" s="7"/>
      <c r="G705" s="7"/>
      <c r="H705" s="7"/>
      <c r="J705" s="7"/>
      <c r="K705" s="7"/>
      <c r="L705" s="7"/>
      <c r="M705" s="7"/>
      <c r="N705" s="7"/>
      <c r="O705" s="7"/>
      <c r="P705" s="7"/>
      <c r="Q705" s="7"/>
      <c r="R705" s="7"/>
      <c r="S705" s="7"/>
      <c r="T705" s="7"/>
      <c r="U705" s="7"/>
      <c r="V705" s="7"/>
      <c r="W705" s="7"/>
      <c r="X705" s="7"/>
      <c r="Y705" s="7"/>
    </row>
    <row r="706" spans="1:25" ht="15">
      <c r="A706" s="81"/>
      <c r="B706" s="7"/>
      <c r="C706" s="7"/>
      <c r="D706" s="7"/>
      <c r="E706" s="7"/>
      <c r="F706" s="7"/>
      <c r="G706" s="7"/>
      <c r="H706" s="7"/>
      <c r="J706" s="7"/>
      <c r="K706" s="7"/>
      <c r="L706" s="7"/>
      <c r="M706" s="7"/>
      <c r="N706" s="7"/>
      <c r="O706" s="7"/>
      <c r="P706" s="7"/>
      <c r="Q706" s="7"/>
      <c r="R706" s="7"/>
      <c r="S706" s="7"/>
      <c r="T706" s="7"/>
      <c r="U706" s="7"/>
      <c r="V706" s="7"/>
      <c r="W706" s="7"/>
      <c r="X706" s="7"/>
      <c r="Y706" s="7"/>
    </row>
    <row r="707" spans="1:25" ht="15">
      <c r="A707" s="81"/>
      <c r="B707" s="7"/>
      <c r="C707" s="7"/>
      <c r="D707" s="7"/>
      <c r="E707" s="7"/>
      <c r="F707" s="7"/>
      <c r="G707" s="7"/>
      <c r="H707" s="7"/>
      <c r="J707" s="7"/>
      <c r="K707" s="7"/>
      <c r="L707" s="7"/>
      <c r="M707" s="7"/>
      <c r="N707" s="7"/>
      <c r="O707" s="7"/>
      <c r="P707" s="7"/>
      <c r="Q707" s="7"/>
      <c r="R707" s="7"/>
      <c r="S707" s="7"/>
      <c r="T707" s="7"/>
      <c r="U707" s="7"/>
      <c r="V707" s="7"/>
      <c r="W707" s="7"/>
      <c r="X707" s="7"/>
      <c r="Y707" s="7"/>
    </row>
    <row r="708" spans="1:25" ht="15">
      <c r="A708" s="81"/>
      <c r="B708" s="7"/>
      <c r="C708" s="7"/>
      <c r="D708" s="7"/>
      <c r="E708" s="7"/>
      <c r="F708" s="7"/>
      <c r="G708" s="7"/>
      <c r="H708" s="7"/>
      <c r="J708" s="7"/>
      <c r="K708" s="7"/>
      <c r="L708" s="7"/>
      <c r="M708" s="7"/>
      <c r="N708" s="7"/>
      <c r="O708" s="7"/>
      <c r="P708" s="7"/>
      <c r="Q708" s="7"/>
      <c r="R708" s="7"/>
      <c r="S708" s="7"/>
      <c r="T708" s="7"/>
      <c r="U708" s="7"/>
      <c r="V708" s="7"/>
      <c r="W708" s="7"/>
      <c r="X708" s="7"/>
      <c r="Y708" s="7"/>
    </row>
    <row r="709" spans="1:25" ht="15">
      <c r="A709" s="81"/>
      <c r="B709" s="7"/>
      <c r="C709" s="7"/>
      <c r="D709" s="7"/>
      <c r="E709" s="7"/>
      <c r="F709" s="7"/>
      <c r="G709" s="7"/>
      <c r="H709" s="7"/>
      <c r="J709" s="7"/>
      <c r="K709" s="7"/>
      <c r="L709" s="7"/>
      <c r="M709" s="7"/>
      <c r="N709" s="7"/>
      <c r="O709" s="7"/>
      <c r="P709" s="7"/>
      <c r="Q709" s="7"/>
      <c r="R709" s="7"/>
      <c r="S709" s="7"/>
      <c r="T709" s="7"/>
      <c r="U709" s="7"/>
      <c r="V709" s="7"/>
      <c r="W709" s="7"/>
      <c r="X709" s="7"/>
      <c r="Y709" s="7"/>
    </row>
    <row r="710" spans="1:25" ht="15">
      <c r="A710" s="81"/>
      <c r="B710" s="7"/>
      <c r="C710" s="7"/>
      <c r="D710" s="7"/>
      <c r="E710" s="7"/>
      <c r="F710" s="7"/>
      <c r="G710" s="7"/>
      <c r="H710" s="7"/>
      <c r="J710" s="7"/>
      <c r="K710" s="7"/>
      <c r="L710" s="7"/>
      <c r="M710" s="7"/>
      <c r="N710" s="7"/>
      <c r="O710" s="7"/>
      <c r="P710" s="7"/>
      <c r="Q710" s="7"/>
      <c r="R710" s="7"/>
      <c r="S710" s="7"/>
      <c r="T710" s="7"/>
      <c r="U710" s="7"/>
      <c r="V710" s="7"/>
      <c r="W710" s="7"/>
      <c r="X710" s="7"/>
      <c r="Y710" s="7"/>
    </row>
    <row r="711" spans="1:25" ht="15">
      <c r="A711" s="81"/>
      <c r="B711" s="7"/>
      <c r="C711" s="7"/>
      <c r="D711" s="7"/>
      <c r="E711" s="7"/>
      <c r="F711" s="7"/>
      <c r="G711" s="7"/>
      <c r="H711" s="7"/>
      <c r="J711" s="7"/>
      <c r="K711" s="7"/>
      <c r="L711" s="7"/>
      <c r="M711" s="7"/>
      <c r="N711" s="7"/>
      <c r="O711" s="7"/>
      <c r="P711" s="7"/>
      <c r="Q711" s="7"/>
      <c r="R711" s="7"/>
      <c r="S711" s="7"/>
      <c r="T711" s="7"/>
      <c r="U711" s="7"/>
      <c r="V711" s="7"/>
      <c r="W711" s="7"/>
      <c r="X711" s="7"/>
      <c r="Y711" s="7"/>
    </row>
    <row r="712" spans="1:25" ht="15">
      <c r="A712" s="81"/>
      <c r="B712" s="7"/>
      <c r="C712" s="7"/>
      <c r="D712" s="7"/>
      <c r="E712" s="7"/>
      <c r="F712" s="7"/>
      <c r="G712" s="7"/>
      <c r="H712" s="7"/>
      <c r="J712" s="7"/>
      <c r="K712" s="7"/>
      <c r="L712" s="7"/>
      <c r="M712" s="7"/>
      <c r="N712" s="7"/>
      <c r="O712" s="7"/>
      <c r="P712" s="7"/>
      <c r="Q712" s="7"/>
      <c r="R712" s="7"/>
      <c r="S712" s="7"/>
      <c r="T712" s="7"/>
      <c r="U712" s="7"/>
      <c r="V712" s="7"/>
      <c r="W712" s="7"/>
      <c r="X712" s="7"/>
      <c r="Y712" s="7"/>
    </row>
    <row r="713" spans="1:25" ht="15">
      <c r="A713" s="81"/>
      <c r="B713" s="7"/>
      <c r="C713" s="7"/>
      <c r="D713" s="7"/>
      <c r="E713" s="7"/>
      <c r="F713" s="7"/>
      <c r="G713" s="7"/>
      <c r="H713" s="7"/>
      <c r="J713" s="7"/>
      <c r="K713" s="7"/>
      <c r="L713" s="7"/>
      <c r="M713" s="7"/>
      <c r="N713" s="7"/>
      <c r="O713" s="7"/>
      <c r="P713" s="7"/>
      <c r="Q713" s="7"/>
      <c r="R713" s="7"/>
      <c r="S713" s="7"/>
      <c r="T713" s="7"/>
      <c r="U713" s="7"/>
      <c r="V713" s="7"/>
      <c r="W713" s="7"/>
      <c r="X713" s="7"/>
      <c r="Y713" s="7"/>
    </row>
    <row r="714" spans="1:25" ht="15">
      <c r="A714" s="81"/>
      <c r="B714" s="7"/>
      <c r="C714" s="7"/>
      <c r="D714" s="7"/>
      <c r="E714" s="7"/>
      <c r="F714" s="7"/>
      <c r="G714" s="7"/>
      <c r="H714" s="7"/>
      <c r="J714" s="7"/>
      <c r="K714" s="7"/>
      <c r="L714" s="7"/>
      <c r="M714" s="7"/>
      <c r="N714" s="7"/>
      <c r="O714" s="7"/>
      <c r="P714" s="7"/>
      <c r="Q714" s="7"/>
      <c r="R714" s="7"/>
      <c r="S714" s="7"/>
      <c r="T714" s="7"/>
      <c r="U714" s="7"/>
      <c r="V714" s="7"/>
      <c r="W714" s="7"/>
      <c r="X714" s="7"/>
      <c r="Y714" s="7"/>
    </row>
    <row r="715" spans="1:25" ht="15">
      <c r="A715" s="81"/>
      <c r="B715" s="7"/>
      <c r="C715" s="7"/>
      <c r="D715" s="7"/>
      <c r="E715" s="7"/>
      <c r="F715" s="7"/>
      <c r="G715" s="7"/>
      <c r="H715" s="7"/>
      <c r="J715" s="7"/>
      <c r="K715" s="7"/>
      <c r="L715" s="7"/>
      <c r="M715" s="7"/>
      <c r="N715" s="7"/>
      <c r="O715" s="7"/>
      <c r="P715" s="7"/>
      <c r="Q715" s="7"/>
      <c r="R715" s="7"/>
      <c r="S715" s="7"/>
      <c r="T715" s="7"/>
      <c r="U715" s="7"/>
      <c r="V715" s="7"/>
      <c r="W715" s="7"/>
      <c r="X715" s="7"/>
      <c r="Y715" s="7"/>
    </row>
    <row r="716" spans="1:25" ht="15">
      <c r="A716" s="81"/>
      <c r="B716" s="7"/>
      <c r="C716" s="7"/>
      <c r="D716" s="7"/>
      <c r="E716" s="7"/>
      <c r="F716" s="7"/>
      <c r="G716" s="7"/>
      <c r="H716" s="7"/>
      <c r="J716" s="7"/>
      <c r="K716" s="7"/>
      <c r="L716" s="7"/>
      <c r="M716" s="7"/>
      <c r="N716" s="7"/>
      <c r="O716" s="7"/>
      <c r="P716" s="7"/>
      <c r="Q716" s="7"/>
      <c r="R716" s="7"/>
      <c r="S716" s="7"/>
      <c r="T716" s="7"/>
      <c r="U716" s="7"/>
      <c r="V716" s="7"/>
      <c r="W716" s="7"/>
      <c r="X716" s="7"/>
      <c r="Y716" s="7"/>
    </row>
    <row r="717" spans="1:25" ht="15">
      <c r="A717" s="81"/>
      <c r="B717" s="7"/>
      <c r="C717" s="7"/>
      <c r="D717" s="7"/>
      <c r="E717" s="7"/>
      <c r="F717" s="7"/>
      <c r="G717" s="7"/>
      <c r="H717" s="7"/>
      <c r="J717" s="7"/>
      <c r="K717" s="7"/>
      <c r="L717" s="7"/>
      <c r="M717" s="7"/>
      <c r="N717" s="7"/>
      <c r="O717" s="7"/>
      <c r="P717" s="7"/>
      <c r="Q717" s="7"/>
      <c r="R717" s="7"/>
      <c r="S717" s="7"/>
      <c r="T717" s="7"/>
      <c r="U717" s="7"/>
      <c r="V717" s="7"/>
      <c r="W717" s="7"/>
      <c r="X717" s="7"/>
      <c r="Y717" s="7"/>
    </row>
    <row r="718" spans="1:25" ht="15">
      <c r="A718" s="81"/>
      <c r="B718" s="7"/>
      <c r="C718" s="7"/>
      <c r="D718" s="7"/>
      <c r="E718" s="7"/>
      <c r="F718" s="7"/>
      <c r="G718" s="7"/>
      <c r="H718" s="7"/>
      <c r="J718" s="7"/>
      <c r="K718" s="7"/>
      <c r="L718" s="7"/>
      <c r="M718" s="7"/>
      <c r="N718" s="7"/>
      <c r="O718" s="7"/>
      <c r="P718" s="7"/>
      <c r="Q718" s="7"/>
      <c r="R718" s="7"/>
      <c r="S718" s="7"/>
      <c r="T718" s="7"/>
      <c r="U718" s="7"/>
      <c r="V718" s="7"/>
      <c r="W718" s="7"/>
      <c r="X718" s="7"/>
      <c r="Y718" s="7"/>
    </row>
    <row r="719" spans="1:25" ht="15">
      <c r="A719" s="81"/>
      <c r="B719" s="7"/>
      <c r="C719" s="7"/>
      <c r="D719" s="7"/>
      <c r="E719" s="7"/>
      <c r="F719" s="7"/>
      <c r="G719" s="7"/>
      <c r="H719" s="7"/>
      <c r="J719" s="7"/>
      <c r="K719" s="7"/>
      <c r="L719" s="7"/>
      <c r="M719" s="7"/>
      <c r="N719" s="7"/>
      <c r="O719" s="7"/>
      <c r="P719" s="7"/>
      <c r="Q719" s="7"/>
      <c r="R719" s="7"/>
      <c r="S719" s="7"/>
      <c r="T719" s="7"/>
      <c r="U719" s="7"/>
      <c r="V719" s="7"/>
      <c r="W719" s="7"/>
      <c r="X719" s="7"/>
      <c r="Y719" s="7"/>
    </row>
    <row r="720" spans="1:25" ht="15">
      <c r="A720" s="81"/>
      <c r="B720" s="7"/>
      <c r="C720" s="7"/>
      <c r="D720" s="7"/>
      <c r="E720" s="7"/>
      <c r="F720" s="7"/>
      <c r="G720" s="7"/>
      <c r="H720" s="7"/>
      <c r="J720" s="7"/>
      <c r="K720" s="7"/>
      <c r="L720" s="7"/>
      <c r="M720" s="7"/>
      <c r="N720" s="7"/>
      <c r="O720" s="7"/>
      <c r="P720" s="7"/>
      <c r="Q720" s="7"/>
      <c r="R720" s="7"/>
      <c r="S720" s="7"/>
      <c r="T720" s="7"/>
      <c r="U720" s="7"/>
      <c r="V720" s="7"/>
      <c r="W720" s="7"/>
      <c r="X720" s="7"/>
      <c r="Y720" s="7"/>
    </row>
    <row r="721" spans="1:25" ht="15">
      <c r="A721" s="81"/>
      <c r="B721" s="7"/>
      <c r="C721" s="7"/>
      <c r="D721" s="7"/>
      <c r="E721" s="7"/>
      <c r="F721" s="7"/>
      <c r="G721" s="7"/>
      <c r="H721" s="7"/>
      <c r="J721" s="7"/>
      <c r="K721" s="7"/>
      <c r="L721" s="7"/>
      <c r="M721" s="7"/>
      <c r="N721" s="7"/>
      <c r="O721" s="7"/>
      <c r="P721" s="7"/>
      <c r="Q721" s="7"/>
      <c r="R721" s="7"/>
      <c r="S721" s="7"/>
      <c r="T721" s="7"/>
      <c r="U721" s="7"/>
      <c r="V721" s="7"/>
      <c r="W721" s="7"/>
      <c r="X721" s="7"/>
      <c r="Y721" s="7"/>
    </row>
    <row r="722" spans="1:25" ht="15">
      <c r="A722" s="81"/>
      <c r="B722" s="7"/>
      <c r="C722" s="7"/>
      <c r="D722" s="7"/>
      <c r="E722" s="7"/>
      <c r="F722" s="7"/>
      <c r="G722" s="7"/>
      <c r="H722" s="7"/>
      <c r="J722" s="7"/>
      <c r="K722" s="7"/>
      <c r="L722" s="7"/>
      <c r="M722" s="7"/>
      <c r="N722" s="7"/>
      <c r="O722" s="7"/>
      <c r="P722" s="7"/>
      <c r="Q722" s="7"/>
      <c r="R722" s="7"/>
      <c r="S722" s="7"/>
      <c r="T722" s="7"/>
      <c r="U722" s="7"/>
      <c r="V722" s="7"/>
      <c r="W722" s="7"/>
      <c r="X722" s="7"/>
      <c r="Y722" s="7"/>
    </row>
    <row r="723" spans="1:25" ht="15">
      <c r="A723" s="81"/>
      <c r="B723" s="7"/>
      <c r="C723" s="7"/>
      <c r="D723" s="7"/>
      <c r="E723" s="7"/>
      <c r="F723" s="7"/>
      <c r="G723" s="7"/>
      <c r="H723" s="7"/>
      <c r="J723" s="7"/>
      <c r="K723" s="7"/>
      <c r="L723" s="7"/>
      <c r="M723" s="7"/>
      <c r="N723" s="7"/>
      <c r="O723" s="7"/>
      <c r="P723" s="7"/>
      <c r="Q723" s="7"/>
      <c r="R723" s="7"/>
      <c r="S723" s="7"/>
      <c r="T723" s="7"/>
      <c r="U723" s="7"/>
      <c r="V723" s="7"/>
      <c r="W723" s="7"/>
      <c r="X723" s="7"/>
      <c r="Y723" s="7"/>
    </row>
    <row r="724" spans="1:25" ht="15">
      <c r="A724" s="81"/>
      <c r="B724" s="7"/>
      <c r="C724" s="7"/>
      <c r="D724" s="7"/>
      <c r="E724" s="7"/>
      <c r="F724" s="7"/>
      <c r="G724" s="7"/>
      <c r="H724" s="7"/>
      <c r="J724" s="7"/>
      <c r="K724" s="7"/>
      <c r="L724" s="7"/>
      <c r="M724" s="7"/>
      <c r="N724" s="7"/>
      <c r="O724" s="7"/>
      <c r="P724" s="7"/>
      <c r="Q724" s="7"/>
      <c r="R724" s="7"/>
      <c r="S724" s="7"/>
      <c r="T724" s="7"/>
      <c r="U724" s="7"/>
      <c r="V724" s="7"/>
      <c r="W724" s="7"/>
      <c r="X724" s="7"/>
      <c r="Y724" s="7"/>
    </row>
    <row r="725" spans="1:25" ht="15">
      <c r="A725" s="81"/>
      <c r="B725" s="7"/>
      <c r="C725" s="7"/>
      <c r="D725" s="7"/>
      <c r="E725" s="7"/>
      <c r="F725" s="7"/>
      <c r="G725" s="7"/>
      <c r="H725" s="7"/>
      <c r="J725" s="7"/>
      <c r="K725" s="7"/>
      <c r="L725" s="7"/>
      <c r="M725" s="7"/>
      <c r="N725" s="7"/>
      <c r="O725" s="7"/>
      <c r="P725" s="7"/>
      <c r="Q725" s="7"/>
      <c r="R725" s="7"/>
      <c r="S725" s="7"/>
      <c r="T725" s="7"/>
      <c r="U725" s="7"/>
      <c r="V725" s="7"/>
      <c r="W725" s="7"/>
      <c r="X725" s="7"/>
      <c r="Y725" s="7"/>
    </row>
    <row r="726" spans="1:25" ht="15">
      <c r="A726" s="81"/>
      <c r="B726" s="7"/>
      <c r="C726" s="7"/>
      <c r="D726" s="7"/>
      <c r="E726" s="7"/>
      <c r="F726" s="7"/>
      <c r="G726" s="7"/>
      <c r="H726" s="7"/>
      <c r="J726" s="7"/>
      <c r="K726" s="7"/>
      <c r="L726" s="7"/>
      <c r="M726" s="7"/>
      <c r="N726" s="7"/>
      <c r="O726" s="7"/>
      <c r="P726" s="7"/>
      <c r="Q726" s="7"/>
      <c r="R726" s="7"/>
      <c r="S726" s="7"/>
      <c r="T726" s="7"/>
      <c r="U726" s="7"/>
      <c r="V726" s="7"/>
      <c r="W726" s="7"/>
      <c r="X726" s="7"/>
      <c r="Y726" s="7"/>
    </row>
    <row r="727" spans="1:25" ht="15">
      <c r="A727" s="81"/>
      <c r="B727" s="7"/>
      <c r="C727" s="7"/>
      <c r="D727" s="7"/>
      <c r="E727" s="7"/>
      <c r="F727" s="7"/>
      <c r="G727" s="7"/>
      <c r="H727" s="7"/>
      <c r="J727" s="7"/>
      <c r="K727" s="7"/>
      <c r="L727" s="7"/>
      <c r="M727" s="7"/>
      <c r="N727" s="7"/>
      <c r="O727" s="7"/>
      <c r="P727" s="7"/>
      <c r="Q727" s="7"/>
      <c r="R727" s="7"/>
      <c r="S727" s="7"/>
      <c r="T727" s="7"/>
      <c r="U727" s="7"/>
      <c r="V727" s="7"/>
      <c r="W727" s="7"/>
      <c r="X727" s="7"/>
      <c r="Y727" s="7"/>
    </row>
    <row r="728" spans="1:25" ht="15">
      <c r="A728" s="81"/>
      <c r="B728" s="7"/>
      <c r="C728" s="7"/>
      <c r="D728" s="7"/>
      <c r="E728" s="7"/>
      <c r="F728" s="7"/>
      <c r="G728" s="7"/>
      <c r="H728" s="7"/>
      <c r="J728" s="7"/>
      <c r="K728" s="7"/>
      <c r="L728" s="7"/>
      <c r="M728" s="7"/>
      <c r="N728" s="7"/>
      <c r="O728" s="7"/>
      <c r="P728" s="7"/>
      <c r="Q728" s="7"/>
      <c r="R728" s="7"/>
      <c r="S728" s="7"/>
      <c r="T728" s="7"/>
      <c r="U728" s="7"/>
      <c r="V728" s="7"/>
      <c r="W728" s="7"/>
      <c r="X728" s="7"/>
      <c r="Y728" s="7"/>
    </row>
    <row r="729" spans="1:25" ht="15">
      <c r="A729" s="81"/>
      <c r="B729" s="7"/>
      <c r="C729" s="7"/>
      <c r="D729" s="7"/>
      <c r="E729" s="7"/>
      <c r="F729" s="7"/>
      <c r="G729" s="7"/>
      <c r="H729" s="7"/>
      <c r="J729" s="7"/>
      <c r="K729" s="7"/>
      <c r="L729" s="7"/>
      <c r="M729" s="7"/>
      <c r="N729" s="7"/>
      <c r="O729" s="7"/>
      <c r="P729" s="7"/>
      <c r="Q729" s="7"/>
      <c r="R729" s="7"/>
      <c r="S729" s="7"/>
      <c r="T729" s="7"/>
      <c r="U729" s="7"/>
      <c r="V729" s="7"/>
      <c r="W729" s="7"/>
      <c r="X729" s="7"/>
      <c r="Y729" s="7"/>
    </row>
    <row r="730" spans="1:25" ht="15">
      <c r="A730" s="81"/>
      <c r="B730" s="7"/>
      <c r="C730" s="7"/>
      <c r="D730" s="7"/>
      <c r="E730" s="7"/>
      <c r="F730" s="7"/>
      <c r="G730" s="7"/>
      <c r="H730" s="7"/>
      <c r="J730" s="7"/>
      <c r="K730" s="7"/>
      <c r="L730" s="7"/>
      <c r="M730" s="7"/>
      <c r="N730" s="7"/>
      <c r="O730" s="7"/>
      <c r="P730" s="7"/>
      <c r="Q730" s="7"/>
      <c r="R730" s="7"/>
      <c r="S730" s="7"/>
      <c r="T730" s="7"/>
      <c r="U730" s="7"/>
      <c r="V730" s="7"/>
      <c r="W730" s="7"/>
      <c r="X730" s="7"/>
      <c r="Y730" s="7"/>
    </row>
    <row r="731" spans="1:25" ht="15">
      <c r="A731" s="81"/>
      <c r="B731" s="7"/>
      <c r="C731" s="7"/>
      <c r="D731" s="7"/>
      <c r="E731" s="7"/>
      <c r="F731" s="7"/>
      <c r="G731" s="7"/>
      <c r="H731" s="7"/>
      <c r="J731" s="7"/>
      <c r="K731" s="7"/>
      <c r="L731" s="7"/>
      <c r="M731" s="7"/>
      <c r="N731" s="7"/>
      <c r="O731" s="7"/>
      <c r="P731" s="7"/>
      <c r="Q731" s="7"/>
      <c r="R731" s="7"/>
      <c r="S731" s="7"/>
      <c r="T731" s="7"/>
      <c r="U731" s="7"/>
      <c r="V731" s="7"/>
      <c r="W731" s="7"/>
      <c r="X731" s="7"/>
      <c r="Y731" s="7"/>
    </row>
    <row r="732" spans="1:25" ht="15">
      <c r="A732" s="81"/>
      <c r="B732" s="7"/>
      <c r="C732" s="7"/>
      <c r="D732" s="7"/>
      <c r="E732" s="7"/>
      <c r="F732" s="7"/>
      <c r="G732" s="7"/>
      <c r="H732" s="7"/>
      <c r="J732" s="7"/>
      <c r="K732" s="7"/>
      <c r="L732" s="7"/>
      <c r="M732" s="7"/>
      <c r="N732" s="7"/>
      <c r="O732" s="7"/>
      <c r="P732" s="7"/>
      <c r="Q732" s="7"/>
      <c r="R732" s="7"/>
      <c r="S732" s="7"/>
      <c r="T732" s="7"/>
      <c r="U732" s="7"/>
      <c r="V732" s="7"/>
      <c r="W732" s="7"/>
      <c r="X732" s="7"/>
      <c r="Y732" s="7"/>
    </row>
    <row r="733" spans="1:25" ht="15">
      <c r="A733" s="81"/>
      <c r="B733" s="7"/>
      <c r="C733" s="7"/>
      <c r="D733" s="7"/>
      <c r="E733" s="7"/>
      <c r="F733" s="7"/>
      <c r="G733" s="7"/>
      <c r="H733" s="7"/>
      <c r="J733" s="7"/>
      <c r="K733" s="7"/>
      <c r="L733" s="7"/>
      <c r="M733" s="7"/>
      <c r="N733" s="7"/>
      <c r="O733" s="7"/>
      <c r="P733" s="7"/>
      <c r="Q733" s="7"/>
      <c r="R733" s="7"/>
      <c r="S733" s="7"/>
      <c r="T733" s="7"/>
      <c r="U733" s="7"/>
      <c r="V733" s="7"/>
      <c r="W733" s="7"/>
      <c r="X733" s="7"/>
      <c r="Y733" s="7"/>
    </row>
    <row r="734" spans="1:25" ht="15">
      <c r="A734" s="81"/>
      <c r="B734" s="7"/>
      <c r="C734" s="7"/>
      <c r="D734" s="7"/>
      <c r="E734" s="7"/>
      <c r="F734" s="7"/>
      <c r="G734" s="7"/>
      <c r="H734" s="7"/>
      <c r="J734" s="7"/>
      <c r="K734" s="7"/>
      <c r="L734" s="7"/>
      <c r="M734" s="7"/>
      <c r="N734" s="7"/>
      <c r="O734" s="7"/>
      <c r="P734" s="7"/>
      <c r="Q734" s="7"/>
      <c r="R734" s="7"/>
      <c r="S734" s="7"/>
      <c r="T734" s="7"/>
      <c r="U734" s="7"/>
      <c r="V734" s="7"/>
      <c r="W734" s="7"/>
      <c r="X734" s="7"/>
      <c r="Y734" s="7"/>
    </row>
    <row r="735" spans="1:25" ht="15">
      <c r="A735" s="81"/>
      <c r="B735" s="7"/>
      <c r="C735" s="7"/>
      <c r="D735" s="7"/>
      <c r="E735" s="7"/>
      <c r="F735" s="7"/>
      <c r="G735" s="7"/>
      <c r="H735" s="7"/>
      <c r="J735" s="7"/>
      <c r="K735" s="7"/>
      <c r="L735" s="7"/>
      <c r="M735" s="7"/>
      <c r="N735" s="7"/>
      <c r="O735" s="7"/>
      <c r="P735" s="7"/>
      <c r="Q735" s="7"/>
      <c r="R735" s="7"/>
      <c r="S735" s="7"/>
      <c r="T735" s="7"/>
      <c r="U735" s="7"/>
      <c r="V735" s="7"/>
      <c r="W735" s="7"/>
      <c r="X735" s="7"/>
      <c r="Y735" s="7"/>
    </row>
    <row r="736" spans="1:25" ht="15">
      <c r="A736" s="81"/>
      <c r="B736" s="7"/>
      <c r="C736" s="7"/>
      <c r="D736" s="7"/>
      <c r="E736" s="7"/>
      <c r="F736" s="7"/>
      <c r="G736" s="7"/>
      <c r="H736" s="7"/>
      <c r="J736" s="7"/>
      <c r="K736" s="7"/>
      <c r="L736" s="7"/>
      <c r="M736" s="7"/>
      <c r="N736" s="7"/>
      <c r="O736" s="7"/>
      <c r="P736" s="7"/>
      <c r="Q736" s="7"/>
      <c r="R736" s="7"/>
      <c r="S736" s="7"/>
      <c r="T736" s="7"/>
      <c r="U736" s="7"/>
      <c r="V736" s="7"/>
      <c r="W736" s="7"/>
      <c r="X736" s="7"/>
      <c r="Y736" s="7"/>
    </row>
    <row r="737" spans="1:25" ht="15">
      <c r="A737" s="81"/>
      <c r="B737" s="7"/>
      <c r="C737" s="7"/>
      <c r="D737" s="7"/>
      <c r="E737" s="7"/>
      <c r="F737" s="7"/>
      <c r="G737" s="7"/>
      <c r="H737" s="7"/>
      <c r="J737" s="7"/>
      <c r="K737" s="7"/>
      <c r="L737" s="7"/>
      <c r="M737" s="7"/>
      <c r="N737" s="7"/>
      <c r="O737" s="7"/>
      <c r="P737" s="7"/>
      <c r="Q737" s="7"/>
      <c r="R737" s="7"/>
      <c r="S737" s="7"/>
      <c r="T737" s="7"/>
      <c r="U737" s="7"/>
      <c r="V737" s="7"/>
      <c r="W737" s="7"/>
      <c r="X737" s="7"/>
      <c r="Y737" s="7"/>
    </row>
    <row r="738" spans="1:25" ht="15">
      <c r="A738" s="81"/>
      <c r="B738" s="7"/>
      <c r="C738" s="7"/>
      <c r="D738" s="7"/>
      <c r="E738" s="7"/>
      <c r="F738" s="7"/>
      <c r="G738" s="7"/>
      <c r="H738" s="7"/>
      <c r="J738" s="7"/>
      <c r="K738" s="7"/>
      <c r="L738" s="7"/>
      <c r="M738" s="7"/>
      <c r="N738" s="7"/>
      <c r="O738" s="7"/>
      <c r="P738" s="7"/>
      <c r="Q738" s="7"/>
      <c r="R738" s="7"/>
      <c r="S738" s="7"/>
      <c r="T738" s="7"/>
      <c r="U738" s="7"/>
      <c r="V738" s="7"/>
      <c r="W738" s="7"/>
      <c r="X738" s="7"/>
      <c r="Y738" s="7"/>
    </row>
    <row r="739" spans="1:25" ht="15">
      <c r="A739" s="81"/>
      <c r="B739" s="7"/>
      <c r="C739" s="7"/>
      <c r="D739" s="7"/>
      <c r="E739" s="7"/>
      <c r="F739" s="7"/>
      <c r="G739" s="7"/>
      <c r="H739" s="7"/>
      <c r="J739" s="7"/>
      <c r="K739" s="7"/>
      <c r="L739" s="7"/>
      <c r="M739" s="7"/>
      <c r="N739" s="7"/>
      <c r="O739" s="7"/>
      <c r="P739" s="7"/>
      <c r="Q739" s="7"/>
      <c r="R739" s="7"/>
      <c r="S739" s="7"/>
      <c r="T739" s="7"/>
      <c r="U739" s="7"/>
      <c r="V739" s="7"/>
      <c r="W739" s="7"/>
      <c r="X739" s="7"/>
      <c r="Y739" s="7"/>
    </row>
    <row r="740" spans="1:25" ht="15">
      <c r="A740" s="81"/>
      <c r="B740" s="7"/>
      <c r="C740" s="7"/>
      <c r="D740" s="7"/>
      <c r="E740" s="7"/>
      <c r="F740" s="7"/>
      <c r="G740" s="7"/>
      <c r="H740" s="7"/>
      <c r="J740" s="7"/>
      <c r="K740" s="7"/>
      <c r="L740" s="7"/>
      <c r="M740" s="7"/>
      <c r="N740" s="7"/>
      <c r="O740" s="7"/>
      <c r="P740" s="7"/>
      <c r="Q740" s="7"/>
      <c r="R740" s="7"/>
      <c r="S740" s="7"/>
      <c r="T740" s="7"/>
      <c r="U740" s="7"/>
      <c r="V740" s="7"/>
      <c r="W740" s="7"/>
      <c r="X740" s="7"/>
      <c r="Y740" s="7"/>
    </row>
    <row r="741" spans="1:25" ht="15">
      <c r="A741" s="81"/>
      <c r="B741" s="7"/>
      <c r="C741" s="7"/>
      <c r="D741" s="7"/>
      <c r="E741" s="7"/>
      <c r="F741" s="7"/>
      <c r="G741" s="7"/>
      <c r="H741" s="7"/>
      <c r="J741" s="7"/>
      <c r="K741" s="7"/>
      <c r="L741" s="7"/>
      <c r="M741" s="7"/>
      <c r="N741" s="7"/>
      <c r="O741" s="7"/>
      <c r="P741" s="7"/>
      <c r="Q741" s="7"/>
      <c r="R741" s="7"/>
      <c r="S741" s="7"/>
      <c r="T741" s="7"/>
      <c r="U741" s="7"/>
      <c r="V741" s="7"/>
      <c r="W741" s="7"/>
      <c r="X741" s="7"/>
      <c r="Y741" s="7"/>
    </row>
    <row r="742" spans="1:25" ht="15">
      <c r="A742" s="81"/>
      <c r="B742" s="7"/>
      <c r="C742" s="7"/>
      <c r="D742" s="7"/>
      <c r="E742" s="7"/>
      <c r="F742" s="7"/>
      <c r="G742" s="7"/>
      <c r="H742" s="7"/>
      <c r="J742" s="7"/>
      <c r="K742" s="7"/>
      <c r="L742" s="7"/>
      <c r="M742" s="7"/>
      <c r="N742" s="7"/>
      <c r="O742" s="7"/>
      <c r="P742" s="7"/>
      <c r="Q742" s="7"/>
      <c r="R742" s="7"/>
      <c r="S742" s="7"/>
      <c r="T742" s="7"/>
      <c r="U742" s="7"/>
      <c r="V742" s="7"/>
      <c r="W742" s="7"/>
      <c r="X742" s="7"/>
      <c r="Y742" s="7"/>
    </row>
    <row r="743" spans="1:25" ht="15">
      <c r="A743" s="81"/>
      <c r="B743" s="7"/>
      <c r="C743" s="7"/>
      <c r="D743" s="7"/>
      <c r="E743" s="7"/>
      <c r="F743" s="7"/>
      <c r="G743" s="7"/>
      <c r="H743" s="7"/>
      <c r="J743" s="7"/>
      <c r="K743" s="7"/>
      <c r="L743" s="7"/>
      <c r="M743" s="7"/>
      <c r="N743" s="7"/>
      <c r="O743" s="7"/>
      <c r="P743" s="7"/>
      <c r="Q743" s="7"/>
      <c r="R743" s="7"/>
      <c r="S743" s="7"/>
      <c r="T743" s="7"/>
      <c r="U743" s="7"/>
      <c r="V743" s="7"/>
      <c r="W743" s="7"/>
      <c r="X743" s="7"/>
      <c r="Y743" s="7"/>
    </row>
    <row r="744" spans="1:25" ht="15">
      <c r="A744" s="81"/>
      <c r="B744" s="7"/>
      <c r="C744" s="7"/>
      <c r="D744" s="7"/>
      <c r="E744" s="7"/>
      <c r="F744" s="7"/>
      <c r="G744" s="7"/>
      <c r="H744" s="7"/>
      <c r="J744" s="7"/>
      <c r="K744" s="7"/>
      <c r="L744" s="7"/>
      <c r="M744" s="7"/>
      <c r="N744" s="7"/>
      <c r="O744" s="7"/>
      <c r="P744" s="7"/>
      <c r="Q744" s="7"/>
      <c r="R744" s="7"/>
      <c r="S744" s="7"/>
      <c r="T744" s="7"/>
      <c r="U744" s="7"/>
      <c r="V744" s="7"/>
      <c r="W744" s="7"/>
      <c r="X744" s="7"/>
      <c r="Y744" s="7"/>
    </row>
    <row r="745" spans="1:25" ht="15">
      <c r="A745" s="81"/>
      <c r="B745" s="7"/>
      <c r="C745" s="7"/>
      <c r="D745" s="7"/>
      <c r="E745" s="7"/>
      <c r="F745" s="7"/>
      <c r="G745" s="7"/>
      <c r="H745" s="7"/>
      <c r="J745" s="7"/>
      <c r="K745" s="7"/>
      <c r="L745" s="7"/>
      <c r="M745" s="7"/>
      <c r="N745" s="7"/>
      <c r="O745" s="7"/>
      <c r="P745" s="7"/>
      <c r="Q745" s="7"/>
      <c r="R745" s="7"/>
      <c r="S745" s="7"/>
      <c r="T745" s="7"/>
      <c r="U745" s="7"/>
      <c r="V745" s="7"/>
      <c r="W745" s="7"/>
      <c r="X745" s="7"/>
      <c r="Y745" s="7"/>
    </row>
    <row r="746" spans="1:25" ht="15">
      <c r="A746" s="81"/>
      <c r="B746" s="7"/>
      <c r="C746" s="7"/>
      <c r="D746" s="7"/>
      <c r="E746" s="7"/>
      <c r="F746" s="7"/>
      <c r="G746" s="7"/>
      <c r="H746" s="7"/>
      <c r="J746" s="7"/>
      <c r="K746" s="7"/>
      <c r="L746" s="7"/>
      <c r="M746" s="7"/>
      <c r="N746" s="7"/>
      <c r="O746" s="7"/>
      <c r="P746" s="7"/>
      <c r="Q746" s="7"/>
      <c r="R746" s="7"/>
      <c r="S746" s="7"/>
      <c r="T746" s="7"/>
      <c r="U746" s="7"/>
      <c r="V746" s="7"/>
      <c r="W746" s="7"/>
      <c r="X746" s="7"/>
      <c r="Y746" s="7"/>
    </row>
    <row r="747" spans="1:25" ht="15">
      <c r="A747" s="81"/>
      <c r="B747" s="7"/>
      <c r="C747" s="7"/>
      <c r="D747" s="7"/>
      <c r="E747" s="7"/>
      <c r="F747" s="7"/>
      <c r="G747" s="7"/>
      <c r="H747" s="7"/>
      <c r="J747" s="7"/>
      <c r="K747" s="7"/>
      <c r="L747" s="7"/>
      <c r="M747" s="7"/>
      <c r="N747" s="7"/>
      <c r="O747" s="7"/>
      <c r="P747" s="7"/>
      <c r="Q747" s="7"/>
      <c r="R747" s="7"/>
      <c r="S747" s="7"/>
      <c r="T747" s="7"/>
      <c r="U747" s="7"/>
      <c r="V747" s="7"/>
      <c r="W747" s="7"/>
      <c r="X747" s="7"/>
      <c r="Y747" s="7"/>
    </row>
    <row r="748" spans="1:25" ht="15">
      <c r="A748" s="81"/>
      <c r="B748" s="7"/>
      <c r="C748" s="7"/>
      <c r="D748" s="7"/>
      <c r="E748" s="7"/>
      <c r="F748" s="7"/>
      <c r="G748" s="7"/>
      <c r="H748" s="7"/>
      <c r="J748" s="7"/>
      <c r="K748" s="7"/>
      <c r="L748" s="7"/>
      <c r="M748" s="7"/>
      <c r="N748" s="7"/>
      <c r="O748" s="7"/>
      <c r="P748" s="7"/>
      <c r="Q748" s="7"/>
      <c r="R748" s="7"/>
      <c r="S748" s="7"/>
      <c r="T748" s="7"/>
      <c r="U748" s="7"/>
      <c r="V748" s="7"/>
      <c r="W748" s="7"/>
      <c r="X748" s="7"/>
      <c r="Y748" s="7"/>
    </row>
    <row r="749" spans="1:25" ht="15">
      <c r="A749" s="81"/>
      <c r="B749" s="7"/>
      <c r="C749" s="7"/>
      <c r="D749" s="7"/>
      <c r="E749" s="7"/>
      <c r="F749" s="7"/>
      <c r="G749" s="7"/>
      <c r="H749" s="7"/>
      <c r="J749" s="7"/>
      <c r="K749" s="7"/>
      <c r="L749" s="7"/>
      <c r="M749" s="7"/>
      <c r="N749" s="7"/>
      <c r="O749" s="7"/>
      <c r="P749" s="7"/>
      <c r="Q749" s="7"/>
      <c r="R749" s="7"/>
      <c r="S749" s="7"/>
      <c r="T749" s="7"/>
      <c r="U749" s="7"/>
      <c r="V749" s="7"/>
      <c r="W749" s="7"/>
      <c r="X749" s="7"/>
      <c r="Y749" s="7"/>
    </row>
    <row r="750" spans="1:25" ht="15">
      <c r="A750" s="81"/>
      <c r="B750" s="7"/>
      <c r="C750" s="7"/>
      <c r="D750" s="7"/>
      <c r="E750" s="7"/>
      <c r="F750" s="7"/>
      <c r="G750" s="7"/>
      <c r="H750" s="7"/>
      <c r="J750" s="7"/>
      <c r="K750" s="7"/>
      <c r="L750" s="7"/>
      <c r="M750" s="7"/>
      <c r="N750" s="7"/>
      <c r="O750" s="7"/>
      <c r="P750" s="7"/>
      <c r="Q750" s="7"/>
      <c r="R750" s="7"/>
      <c r="S750" s="7"/>
      <c r="T750" s="7"/>
      <c r="U750" s="7"/>
      <c r="V750" s="7"/>
      <c r="W750" s="7"/>
      <c r="X750" s="7"/>
      <c r="Y750" s="7"/>
    </row>
    <row r="751" spans="1:25" ht="15">
      <c r="A751" s="81"/>
      <c r="B751" s="7"/>
      <c r="C751" s="7"/>
      <c r="D751" s="7"/>
      <c r="E751" s="7"/>
      <c r="F751" s="7"/>
      <c r="G751" s="7"/>
      <c r="H751" s="7"/>
      <c r="J751" s="7"/>
      <c r="K751" s="7"/>
      <c r="L751" s="7"/>
      <c r="M751" s="7"/>
      <c r="N751" s="7"/>
      <c r="O751" s="7"/>
      <c r="P751" s="7"/>
      <c r="Q751" s="7"/>
      <c r="R751" s="7"/>
      <c r="S751" s="7"/>
      <c r="T751" s="7"/>
      <c r="U751" s="7"/>
      <c r="V751" s="7"/>
      <c r="W751" s="7"/>
      <c r="X751" s="7"/>
      <c r="Y751" s="7"/>
    </row>
    <row r="752" spans="1:25" ht="15">
      <c r="A752" s="81"/>
      <c r="B752" s="7"/>
      <c r="C752" s="7"/>
      <c r="D752" s="7"/>
      <c r="E752" s="7"/>
      <c r="F752" s="7"/>
      <c r="G752" s="7"/>
      <c r="H752" s="7"/>
      <c r="J752" s="7"/>
      <c r="K752" s="7"/>
      <c r="L752" s="7"/>
      <c r="M752" s="7"/>
      <c r="N752" s="7"/>
      <c r="O752" s="7"/>
      <c r="P752" s="7"/>
      <c r="Q752" s="7"/>
      <c r="R752" s="7"/>
      <c r="S752" s="7"/>
      <c r="T752" s="7"/>
      <c r="U752" s="7"/>
      <c r="V752" s="7"/>
      <c r="W752" s="7"/>
      <c r="X752" s="7"/>
      <c r="Y752" s="7"/>
    </row>
    <row r="753" spans="1:25" ht="15">
      <c r="A753" s="81"/>
      <c r="B753" s="7"/>
      <c r="C753" s="7"/>
      <c r="D753" s="7"/>
      <c r="E753" s="7"/>
      <c r="F753" s="7"/>
      <c r="G753" s="7"/>
      <c r="H753" s="7"/>
      <c r="J753" s="7"/>
      <c r="K753" s="7"/>
      <c r="L753" s="7"/>
      <c r="M753" s="7"/>
      <c r="N753" s="7"/>
      <c r="O753" s="7"/>
      <c r="P753" s="7"/>
      <c r="Q753" s="7"/>
      <c r="R753" s="7"/>
      <c r="S753" s="7"/>
      <c r="T753" s="7"/>
      <c r="U753" s="7"/>
      <c r="V753" s="7"/>
      <c r="W753" s="7"/>
      <c r="X753" s="7"/>
      <c r="Y753" s="7"/>
    </row>
    <row r="754" spans="1:25" ht="15">
      <c r="A754" s="81"/>
      <c r="B754" s="7"/>
      <c r="C754" s="7"/>
      <c r="D754" s="7"/>
      <c r="E754" s="7"/>
      <c r="F754" s="7"/>
      <c r="G754" s="7"/>
      <c r="H754" s="7"/>
      <c r="J754" s="7"/>
      <c r="K754" s="7"/>
      <c r="L754" s="7"/>
      <c r="M754" s="7"/>
      <c r="N754" s="7"/>
      <c r="O754" s="7"/>
      <c r="P754" s="7"/>
      <c r="Q754" s="7"/>
      <c r="R754" s="7"/>
      <c r="S754" s="7"/>
      <c r="T754" s="7"/>
      <c r="U754" s="7"/>
      <c r="V754" s="7"/>
      <c r="W754" s="7"/>
      <c r="X754" s="7"/>
      <c r="Y754" s="7"/>
    </row>
    <row r="755" spans="1:25" ht="15">
      <c r="A755" s="81"/>
      <c r="B755" s="7"/>
      <c r="C755" s="7"/>
      <c r="D755" s="7"/>
      <c r="E755" s="7"/>
      <c r="F755" s="7"/>
      <c r="G755" s="7"/>
      <c r="H755" s="7"/>
      <c r="J755" s="7"/>
      <c r="K755" s="7"/>
      <c r="L755" s="7"/>
      <c r="M755" s="7"/>
      <c r="N755" s="7"/>
      <c r="O755" s="7"/>
      <c r="P755" s="7"/>
      <c r="Q755" s="7"/>
      <c r="R755" s="7"/>
      <c r="S755" s="7"/>
      <c r="T755" s="7"/>
      <c r="U755" s="7"/>
      <c r="V755" s="7"/>
      <c r="W755" s="7"/>
      <c r="X755" s="7"/>
      <c r="Y755" s="7"/>
    </row>
    <row r="756" spans="1:25" ht="15">
      <c r="A756" s="81"/>
      <c r="B756" s="7"/>
      <c r="C756" s="7"/>
      <c r="D756" s="7"/>
      <c r="E756" s="7"/>
      <c r="F756" s="7"/>
      <c r="G756" s="7"/>
      <c r="H756" s="7"/>
      <c r="J756" s="7"/>
      <c r="K756" s="7"/>
      <c r="L756" s="7"/>
      <c r="M756" s="7"/>
      <c r="N756" s="7"/>
      <c r="O756" s="7"/>
      <c r="P756" s="7"/>
      <c r="Q756" s="7"/>
      <c r="R756" s="7"/>
      <c r="S756" s="7"/>
      <c r="T756" s="7"/>
      <c r="U756" s="7"/>
      <c r="V756" s="7"/>
      <c r="W756" s="7"/>
      <c r="X756" s="7"/>
      <c r="Y756" s="7"/>
    </row>
    <row r="757" spans="1:25" ht="15">
      <c r="A757" s="81"/>
      <c r="B757" s="7"/>
      <c r="C757" s="7"/>
      <c r="D757" s="7"/>
      <c r="E757" s="7"/>
      <c r="F757" s="7"/>
      <c r="G757" s="7"/>
      <c r="H757" s="7"/>
      <c r="J757" s="7"/>
      <c r="K757" s="7"/>
      <c r="L757" s="7"/>
      <c r="M757" s="7"/>
      <c r="N757" s="7"/>
      <c r="O757" s="7"/>
      <c r="P757" s="7"/>
      <c r="Q757" s="7"/>
      <c r="R757" s="7"/>
      <c r="S757" s="7"/>
      <c r="T757" s="7"/>
      <c r="U757" s="7"/>
      <c r="V757" s="7"/>
      <c r="W757" s="7"/>
      <c r="X757" s="7"/>
      <c r="Y757" s="7"/>
    </row>
    <row r="758" spans="1:25" ht="15">
      <c r="A758" s="81"/>
      <c r="B758" s="7"/>
      <c r="C758" s="7"/>
      <c r="D758" s="7"/>
      <c r="E758" s="7"/>
      <c r="F758" s="7"/>
      <c r="G758" s="7"/>
      <c r="H758" s="7"/>
      <c r="J758" s="7"/>
      <c r="K758" s="7"/>
      <c r="L758" s="7"/>
      <c r="M758" s="7"/>
      <c r="N758" s="7"/>
      <c r="O758" s="7"/>
      <c r="P758" s="7"/>
      <c r="Q758" s="7"/>
      <c r="R758" s="7"/>
      <c r="S758" s="7"/>
      <c r="T758" s="7"/>
      <c r="U758" s="7"/>
      <c r="V758" s="7"/>
      <c r="W758" s="7"/>
      <c r="X758" s="7"/>
      <c r="Y758" s="7"/>
    </row>
    <row r="759" spans="1:25" ht="15">
      <c r="A759" s="81"/>
      <c r="B759" s="7"/>
      <c r="C759" s="7"/>
      <c r="D759" s="7"/>
      <c r="E759" s="7"/>
      <c r="F759" s="7"/>
      <c r="G759" s="7"/>
      <c r="H759" s="7"/>
      <c r="J759" s="7"/>
      <c r="K759" s="7"/>
      <c r="L759" s="7"/>
      <c r="M759" s="7"/>
      <c r="N759" s="7"/>
      <c r="O759" s="7"/>
      <c r="P759" s="7"/>
      <c r="Q759" s="7"/>
      <c r="R759" s="7"/>
      <c r="S759" s="7"/>
      <c r="T759" s="7"/>
      <c r="U759" s="7"/>
      <c r="V759" s="7"/>
      <c r="W759" s="7"/>
      <c r="X759" s="7"/>
      <c r="Y759" s="7"/>
    </row>
    <row r="760" spans="1:25" ht="15">
      <c r="A760" s="81"/>
      <c r="B760" s="7"/>
      <c r="C760" s="7"/>
      <c r="D760" s="7"/>
      <c r="E760" s="7"/>
      <c r="F760" s="7"/>
      <c r="G760" s="7"/>
      <c r="H760" s="7"/>
      <c r="J760" s="7"/>
      <c r="K760" s="7"/>
      <c r="L760" s="7"/>
      <c r="M760" s="7"/>
      <c r="N760" s="7"/>
      <c r="O760" s="7"/>
      <c r="P760" s="7"/>
      <c r="Q760" s="7"/>
      <c r="R760" s="7"/>
      <c r="S760" s="7"/>
      <c r="T760" s="7"/>
      <c r="U760" s="7"/>
      <c r="V760" s="7"/>
      <c r="W760" s="7"/>
      <c r="X760" s="7"/>
      <c r="Y760" s="7"/>
    </row>
    <row r="761" spans="1:25" ht="15">
      <c r="A761" s="81"/>
      <c r="B761" s="7"/>
      <c r="C761" s="7"/>
      <c r="D761" s="7"/>
      <c r="E761" s="7"/>
      <c r="F761" s="7"/>
      <c r="G761" s="7"/>
      <c r="H761" s="7"/>
      <c r="J761" s="7"/>
      <c r="K761" s="7"/>
      <c r="L761" s="7"/>
      <c r="M761" s="7"/>
      <c r="N761" s="7"/>
      <c r="O761" s="7"/>
      <c r="P761" s="7"/>
      <c r="Q761" s="7"/>
      <c r="R761" s="7"/>
      <c r="S761" s="7"/>
      <c r="T761" s="7"/>
      <c r="U761" s="7"/>
      <c r="V761" s="7"/>
      <c r="W761" s="7"/>
      <c r="X761" s="7"/>
      <c r="Y761" s="7"/>
    </row>
    <row r="762" spans="1:25" ht="15">
      <c r="A762" s="81"/>
      <c r="B762" s="7"/>
      <c r="C762" s="7"/>
      <c r="D762" s="7"/>
      <c r="E762" s="7"/>
      <c r="F762" s="7"/>
      <c r="G762" s="7"/>
      <c r="H762" s="7"/>
      <c r="J762" s="7"/>
      <c r="K762" s="7"/>
      <c r="L762" s="7"/>
      <c r="M762" s="7"/>
      <c r="N762" s="7"/>
      <c r="O762" s="7"/>
      <c r="P762" s="7"/>
      <c r="Q762" s="7"/>
      <c r="R762" s="7"/>
      <c r="S762" s="7"/>
      <c r="T762" s="7"/>
      <c r="U762" s="7"/>
      <c r="V762" s="7"/>
      <c r="W762" s="7"/>
      <c r="X762" s="7"/>
      <c r="Y762" s="7"/>
    </row>
    <row r="763" spans="1:25" ht="15">
      <c r="A763" s="81"/>
      <c r="B763" s="7"/>
      <c r="C763" s="7"/>
      <c r="D763" s="7"/>
      <c r="E763" s="7"/>
      <c r="F763" s="7"/>
      <c r="G763" s="7"/>
      <c r="H763" s="7"/>
      <c r="J763" s="7"/>
      <c r="K763" s="7"/>
      <c r="L763" s="7"/>
      <c r="M763" s="7"/>
      <c r="N763" s="7"/>
      <c r="O763" s="7"/>
      <c r="P763" s="7"/>
      <c r="Q763" s="7"/>
      <c r="R763" s="7"/>
      <c r="S763" s="7"/>
      <c r="T763" s="7"/>
      <c r="U763" s="7"/>
      <c r="V763" s="7"/>
      <c r="W763" s="7"/>
      <c r="X763" s="7"/>
      <c r="Y763" s="7"/>
    </row>
    <row r="764" spans="1:25" ht="15">
      <c r="A764" s="81"/>
      <c r="B764" s="7"/>
      <c r="C764" s="7"/>
      <c r="D764" s="7"/>
      <c r="E764" s="7"/>
      <c r="F764" s="7"/>
      <c r="G764" s="7"/>
      <c r="H764" s="7"/>
      <c r="J764" s="7"/>
      <c r="K764" s="7"/>
      <c r="L764" s="7"/>
      <c r="M764" s="7"/>
      <c r="N764" s="7"/>
      <c r="O764" s="7"/>
      <c r="P764" s="7"/>
      <c r="Q764" s="7"/>
      <c r="R764" s="7"/>
      <c r="S764" s="7"/>
      <c r="T764" s="7"/>
      <c r="U764" s="7"/>
      <c r="V764" s="7"/>
      <c r="W764" s="7"/>
      <c r="X764" s="7"/>
      <c r="Y764" s="7"/>
    </row>
    <row r="765" spans="1:25" ht="15">
      <c r="A765" s="81"/>
      <c r="B765" s="7"/>
      <c r="C765" s="7"/>
      <c r="D765" s="7"/>
      <c r="E765" s="7"/>
      <c r="F765" s="7"/>
      <c r="G765" s="7"/>
      <c r="H765" s="7"/>
      <c r="J765" s="7"/>
      <c r="K765" s="7"/>
      <c r="L765" s="7"/>
      <c r="M765" s="7"/>
      <c r="N765" s="7"/>
      <c r="O765" s="7"/>
      <c r="P765" s="7"/>
      <c r="Q765" s="7"/>
      <c r="R765" s="7"/>
      <c r="S765" s="7"/>
      <c r="T765" s="7"/>
      <c r="U765" s="7"/>
      <c r="V765" s="7"/>
      <c r="W765" s="7"/>
      <c r="X765" s="7"/>
      <c r="Y765" s="7"/>
    </row>
    <row r="766" spans="1:25" ht="15">
      <c r="A766" s="81"/>
      <c r="B766" s="7"/>
      <c r="C766" s="7"/>
      <c r="D766" s="7"/>
      <c r="E766" s="7"/>
      <c r="F766" s="7"/>
      <c r="G766" s="7"/>
      <c r="H766" s="7"/>
      <c r="J766" s="7"/>
      <c r="K766" s="7"/>
      <c r="L766" s="7"/>
      <c r="M766" s="7"/>
      <c r="N766" s="7"/>
      <c r="O766" s="7"/>
      <c r="P766" s="7"/>
      <c r="Q766" s="7"/>
      <c r="R766" s="7"/>
      <c r="S766" s="7"/>
      <c r="T766" s="7"/>
      <c r="U766" s="7"/>
      <c r="V766" s="7"/>
      <c r="W766" s="7"/>
      <c r="X766" s="7"/>
      <c r="Y766" s="7"/>
    </row>
    <row r="767" spans="1:25" ht="15">
      <c r="A767" s="81"/>
      <c r="B767" s="7"/>
      <c r="C767" s="7"/>
      <c r="D767" s="7"/>
      <c r="E767" s="7"/>
      <c r="F767" s="7"/>
      <c r="G767" s="7"/>
      <c r="H767" s="7"/>
      <c r="J767" s="7"/>
      <c r="K767" s="7"/>
      <c r="L767" s="7"/>
      <c r="M767" s="7"/>
      <c r="N767" s="7"/>
      <c r="O767" s="7"/>
      <c r="P767" s="7"/>
      <c r="Q767" s="7"/>
      <c r="R767" s="7"/>
      <c r="S767" s="7"/>
      <c r="T767" s="7"/>
      <c r="U767" s="7"/>
      <c r="V767" s="7"/>
      <c r="W767" s="7"/>
      <c r="X767" s="7"/>
      <c r="Y767" s="7"/>
    </row>
    <row r="768" spans="1:25" ht="15">
      <c r="A768" s="81"/>
      <c r="B768" s="7"/>
      <c r="C768" s="7"/>
      <c r="D768" s="7"/>
      <c r="E768" s="7"/>
      <c r="F768" s="7"/>
      <c r="G768" s="7"/>
      <c r="H768" s="7"/>
      <c r="J768" s="7"/>
      <c r="K768" s="7"/>
      <c r="L768" s="7"/>
      <c r="M768" s="7"/>
      <c r="N768" s="7"/>
      <c r="O768" s="7"/>
      <c r="P768" s="7"/>
      <c r="Q768" s="7"/>
      <c r="R768" s="7"/>
      <c r="S768" s="7"/>
      <c r="T768" s="7"/>
      <c r="U768" s="7"/>
      <c r="V768" s="7"/>
      <c r="W768" s="7"/>
      <c r="X768" s="7"/>
      <c r="Y768" s="7"/>
    </row>
    <row r="769" spans="1:25" ht="15">
      <c r="A769" s="81"/>
      <c r="B769" s="7"/>
      <c r="C769" s="7"/>
      <c r="D769" s="7"/>
      <c r="E769" s="7"/>
      <c r="F769" s="7"/>
      <c r="G769" s="7"/>
      <c r="H769" s="7"/>
      <c r="J769" s="7"/>
      <c r="K769" s="7"/>
      <c r="L769" s="7"/>
      <c r="M769" s="7"/>
      <c r="N769" s="7"/>
      <c r="O769" s="7"/>
      <c r="P769" s="7"/>
      <c r="Q769" s="7"/>
      <c r="R769" s="7"/>
      <c r="S769" s="7"/>
      <c r="T769" s="7"/>
      <c r="U769" s="7"/>
      <c r="V769" s="7"/>
      <c r="W769" s="7"/>
      <c r="X769" s="7"/>
      <c r="Y769" s="7"/>
    </row>
    <row r="770" spans="1:25" ht="15">
      <c r="A770" s="81"/>
      <c r="B770" s="7"/>
      <c r="C770" s="7"/>
      <c r="D770" s="7"/>
      <c r="E770" s="7"/>
      <c r="F770" s="7"/>
      <c r="G770" s="7"/>
      <c r="H770" s="7"/>
      <c r="J770" s="7"/>
      <c r="K770" s="7"/>
      <c r="L770" s="7"/>
      <c r="M770" s="7"/>
      <c r="N770" s="7"/>
      <c r="O770" s="7"/>
      <c r="P770" s="7"/>
      <c r="Q770" s="7"/>
      <c r="R770" s="7"/>
      <c r="S770" s="7"/>
      <c r="T770" s="7"/>
      <c r="U770" s="7"/>
      <c r="V770" s="7"/>
      <c r="W770" s="7"/>
      <c r="X770" s="7"/>
      <c r="Y770" s="7"/>
    </row>
    <row r="771" spans="1:25" ht="15">
      <c r="A771" s="81"/>
      <c r="B771" s="7"/>
      <c r="C771" s="7"/>
      <c r="D771" s="7"/>
      <c r="E771" s="7"/>
      <c r="F771" s="7"/>
      <c r="G771" s="7"/>
      <c r="H771" s="7"/>
      <c r="J771" s="7"/>
      <c r="K771" s="7"/>
      <c r="L771" s="7"/>
      <c r="M771" s="7"/>
      <c r="N771" s="7"/>
      <c r="O771" s="7"/>
      <c r="P771" s="7"/>
      <c r="Q771" s="7"/>
      <c r="R771" s="7"/>
      <c r="S771" s="7"/>
      <c r="T771" s="7"/>
      <c r="U771" s="7"/>
      <c r="V771" s="7"/>
      <c r="W771" s="7"/>
      <c r="X771" s="7"/>
      <c r="Y771" s="7"/>
    </row>
    <row r="772" spans="1:25" ht="15">
      <c r="A772" s="81"/>
      <c r="B772" s="7"/>
      <c r="C772" s="7"/>
      <c r="D772" s="7"/>
      <c r="E772" s="7"/>
      <c r="F772" s="7"/>
      <c r="G772" s="7"/>
      <c r="H772" s="7"/>
      <c r="J772" s="7"/>
      <c r="K772" s="7"/>
      <c r="L772" s="7"/>
      <c r="M772" s="7"/>
      <c r="N772" s="7"/>
      <c r="O772" s="7"/>
      <c r="P772" s="7"/>
      <c r="Q772" s="7"/>
      <c r="R772" s="7"/>
      <c r="S772" s="7"/>
      <c r="T772" s="7"/>
      <c r="U772" s="7"/>
      <c r="V772" s="7"/>
      <c r="W772" s="7"/>
      <c r="X772" s="7"/>
      <c r="Y772" s="7"/>
    </row>
    <row r="773" spans="1:25" ht="15">
      <c r="A773" s="81"/>
      <c r="B773" s="7"/>
      <c r="C773" s="7"/>
      <c r="D773" s="7"/>
      <c r="E773" s="7"/>
      <c r="F773" s="7"/>
      <c r="G773" s="7"/>
      <c r="H773" s="7"/>
      <c r="J773" s="7"/>
      <c r="K773" s="7"/>
      <c r="L773" s="7"/>
      <c r="M773" s="7"/>
      <c r="N773" s="7"/>
      <c r="O773" s="7"/>
      <c r="P773" s="7"/>
      <c r="Q773" s="7"/>
      <c r="R773" s="7"/>
      <c r="S773" s="7"/>
      <c r="T773" s="7"/>
      <c r="U773" s="7"/>
      <c r="V773" s="7"/>
      <c r="W773" s="7"/>
      <c r="X773" s="7"/>
      <c r="Y773" s="7"/>
    </row>
    <row r="774" spans="1:25" ht="15">
      <c r="A774" s="81"/>
      <c r="B774" s="7"/>
      <c r="C774" s="7"/>
      <c r="D774" s="7"/>
      <c r="E774" s="7"/>
      <c r="F774" s="7"/>
      <c r="G774" s="7"/>
      <c r="H774" s="7"/>
      <c r="J774" s="7"/>
      <c r="K774" s="7"/>
      <c r="L774" s="7"/>
      <c r="M774" s="7"/>
      <c r="N774" s="7"/>
      <c r="O774" s="7"/>
      <c r="P774" s="7"/>
      <c r="Q774" s="7"/>
      <c r="R774" s="7"/>
      <c r="S774" s="7"/>
      <c r="T774" s="7"/>
      <c r="U774" s="7"/>
      <c r="V774" s="7"/>
      <c r="W774" s="7"/>
      <c r="X774" s="7"/>
      <c r="Y774" s="7"/>
    </row>
    <row r="775" spans="1:25" ht="15">
      <c r="A775" s="81"/>
      <c r="B775" s="7"/>
      <c r="C775" s="7"/>
      <c r="D775" s="7"/>
      <c r="E775" s="7"/>
      <c r="F775" s="7"/>
      <c r="G775" s="7"/>
      <c r="H775" s="7"/>
      <c r="J775" s="7"/>
      <c r="K775" s="7"/>
      <c r="L775" s="7"/>
      <c r="M775" s="7"/>
      <c r="N775" s="7"/>
      <c r="O775" s="7"/>
      <c r="P775" s="7"/>
      <c r="Q775" s="7"/>
      <c r="R775" s="7"/>
      <c r="S775" s="7"/>
      <c r="T775" s="7"/>
      <c r="U775" s="7"/>
      <c r="V775" s="7"/>
      <c r="W775" s="7"/>
      <c r="X775" s="7"/>
      <c r="Y775" s="7"/>
    </row>
    <row r="776" spans="1:25" ht="15">
      <c r="A776" s="81"/>
      <c r="B776" s="7"/>
      <c r="C776" s="7"/>
      <c r="D776" s="7"/>
      <c r="E776" s="7"/>
      <c r="F776" s="7"/>
      <c r="G776" s="7"/>
      <c r="H776" s="7"/>
      <c r="J776" s="7"/>
      <c r="K776" s="7"/>
      <c r="L776" s="7"/>
      <c r="M776" s="7"/>
      <c r="N776" s="7"/>
      <c r="O776" s="7"/>
      <c r="P776" s="7"/>
      <c r="Q776" s="7"/>
      <c r="R776" s="7"/>
      <c r="S776" s="7"/>
      <c r="T776" s="7"/>
      <c r="U776" s="7"/>
      <c r="V776" s="7"/>
      <c r="W776" s="7"/>
      <c r="X776" s="7"/>
      <c r="Y776" s="7"/>
    </row>
    <row r="777" spans="1:25" ht="15">
      <c r="A777" s="81"/>
      <c r="B777" s="7"/>
      <c r="C777" s="7"/>
      <c r="D777" s="7"/>
      <c r="E777" s="7"/>
      <c r="F777" s="7"/>
      <c r="G777" s="7"/>
      <c r="H777" s="7"/>
      <c r="J777" s="7"/>
      <c r="K777" s="7"/>
      <c r="L777" s="7"/>
      <c r="M777" s="7"/>
      <c r="N777" s="7"/>
      <c r="O777" s="7"/>
      <c r="P777" s="7"/>
      <c r="Q777" s="7"/>
      <c r="R777" s="7"/>
      <c r="S777" s="7"/>
      <c r="T777" s="7"/>
      <c r="U777" s="7"/>
      <c r="V777" s="7"/>
      <c r="W777" s="7"/>
      <c r="X777" s="7"/>
      <c r="Y777" s="7"/>
    </row>
    <row r="778" spans="1:25" ht="15">
      <c r="A778" s="81"/>
      <c r="B778" s="7"/>
      <c r="C778" s="7"/>
      <c r="D778" s="7"/>
      <c r="E778" s="7"/>
      <c r="F778" s="7"/>
      <c r="G778" s="7"/>
      <c r="H778" s="7"/>
      <c r="J778" s="7"/>
      <c r="K778" s="7"/>
      <c r="L778" s="7"/>
      <c r="M778" s="7"/>
      <c r="N778" s="7"/>
      <c r="O778" s="7"/>
      <c r="P778" s="7"/>
      <c r="Q778" s="7"/>
      <c r="R778" s="7"/>
      <c r="S778" s="7"/>
      <c r="T778" s="7"/>
      <c r="U778" s="7"/>
      <c r="V778" s="7"/>
      <c r="W778" s="7"/>
      <c r="X778" s="7"/>
      <c r="Y778" s="7"/>
    </row>
    <row r="779" spans="1:25" ht="15">
      <c r="A779" s="81"/>
      <c r="B779" s="7"/>
      <c r="C779" s="7"/>
      <c r="D779" s="7"/>
      <c r="E779" s="7"/>
      <c r="F779" s="7"/>
      <c r="G779" s="7"/>
      <c r="H779" s="7"/>
      <c r="J779" s="7"/>
      <c r="K779" s="7"/>
      <c r="L779" s="7"/>
      <c r="M779" s="7"/>
      <c r="N779" s="7"/>
      <c r="O779" s="7"/>
      <c r="P779" s="7"/>
      <c r="Q779" s="7"/>
      <c r="R779" s="7"/>
      <c r="S779" s="7"/>
      <c r="T779" s="7"/>
      <c r="U779" s="7"/>
      <c r="V779" s="7"/>
      <c r="W779" s="7"/>
      <c r="X779" s="7"/>
      <c r="Y779" s="7"/>
    </row>
    <row r="780" spans="1:25" ht="15">
      <c r="A780" s="81"/>
      <c r="B780" s="7"/>
      <c r="C780" s="7"/>
      <c r="D780" s="7"/>
      <c r="E780" s="7"/>
      <c r="F780" s="7"/>
      <c r="G780" s="7"/>
      <c r="H780" s="7"/>
      <c r="J780" s="7"/>
      <c r="K780" s="7"/>
      <c r="L780" s="7"/>
      <c r="M780" s="7"/>
      <c r="N780" s="7"/>
      <c r="O780" s="7"/>
      <c r="P780" s="7"/>
      <c r="Q780" s="7"/>
      <c r="R780" s="7"/>
      <c r="S780" s="7"/>
      <c r="T780" s="7"/>
      <c r="U780" s="7"/>
      <c r="V780" s="7"/>
      <c r="W780" s="7"/>
      <c r="X780" s="7"/>
      <c r="Y780" s="7"/>
    </row>
    <row r="781" spans="1:25" ht="15">
      <c r="A781" s="81"/>
      <c r="B781" s="7"/>
      <c r="C781" s="7"/>
      <c r="D781" s="7"/>
      <c r="E781" s="7"/>
      <c r="F781" s="7"/>
      <c r="G781" s="7"/>
      <c r="H781" s="7"/>
      <c r="J781" s="7"/>
      <c r="K781" s="7"/>
      <c r="L781" s="7"/>
      <c r="M781" s="7"/>
      <c r="N781" s="7"/>
      <c r="O781" s="7"/>
      <c r="P781" s="7"/>
      <c r="Q781" s="7"/>
      <c r="R781" s="7"/>
      <c r="S781" s="7"/>
      <c r="T781" s="7"/>
      <c r="U781" s="7"/>
      <c r="V781" s="7"/>
      <c r="W781" s="7"/>
      <c r="X781" s="7"/>
      <c r="Y781" s="7"/>
    </row>
    <row r="782" spans="1:25" ht="15">
      <c r="A782" s="81"/>
      <c r="B782" s="7"/>
      <c r="C782" s="7"/>
      <c r="D782" s="7"/>
      <c r="E782" s="7"/>
      <c r="F782" s="7"/>
      <c r="G782" s="7"/>
      <c r="H782" s="7"/>
      <c r="J782" s="7"/>
      <c r="K782" s="7"/>
      <c r="L782" s="7"/>
      <c r="M782" s="7"/>
      <c r="N782" s="7"/>
      <c r="O782" s="7"/>
      <c r="P782" s="7"/>
      <c r="Q782" s="7"/>
      <c r="R782" s="7"/>
      <c r="S782" s="7"/>
      <c r="T782" s="7"/>
      <c r="U782" s="7"/>
      <c r="V782" s="7"/>
      <c r="W782" s="7"/>
      <c r="X782" s="7"/>
      <c r="Y782" s="7"/>
    </row>
    <row r="783" spans="1:25" ht="15">
      <c r="A783" s="81"/>
      <c r="B783" s="7"/>
      <c r="C783" s="7"/>
      <c r="D783" s="7"/>
      <c r="E783" s="7"/>
      <c r="F783" s="7"/>
      <c r="G783" s="7"/>
      <c r="H783" s="7"/>
      <c r="J783" s="7"/>
      <c r="K783" s="7"/>
      <c r="L783" s="7"/>
      <c r="M783" s="7"/>
      <c r="N783" s="7"/>
      <c r="O783" s="7"/>
      <c r="P783" s="7"/>
      <c r="Q783" s="7"/>
      <c r="R783" s="7"/>
      <c r="S783" s="7"/>
      <c r="T783" s="7"/>
      <c r="U783" s="7"/>
      <c r="V783" s="7"/>
      <c r="W783" s="7"/>
      <c r="X783" s="7"/>
      <c r="Y783" s="7"/>
    </row>
    <row r="784" spans="1:25" ht="15">
      <c r="A784" s="81"/>
      <c r="B784" s="7"/>
      <c r="C784" s="7"/>
      <c r="D784" s="7"/>
      <c r="E784" s="7"/>
      <c r="F784" s="7"/>
      <c r="G784" s="7"/>
      <c r="H784" s="7"/>
      <c r="J784" s="7"/>
      <c r="K784" s="7"/>
      <c r="L784" s="7"/>
      <c r="M784" s="7"/>
      <c r="N784" s="7"/>
      <c r="O784" s="7"/>
      <c r="P784" s="7"/>
      <c r="Q784" s="7"/>
      <c r="R784" s="7"/>
      <c r="S784" s="7"/>
      <c r="T784" s="7"/>
      <c r="U784" s="7"/>
      <c r="V784" s="7"/>
      <c r="W784" s="7"/>
      <c r="X784" s="7"/>
      <c r="Y784" s="7"/>
    </row>
    <row r="785" spans="1:25" ht="15">
      <c r="A785" s="81"/>
      <c r="B785" s="7"/>
      <c r="C785" s="7"/>
      <c r="D785" s="7"/>
      <c r="E785" s="7"/>
      <c r="F785" s="7"/>
      <c r="G785" s="7"/>
      <c r="H785" s="7"/>
      <c r="J785" s="7"/>
      <c r="K785" s="7"/>
      <c r="L785" s="7"/>
      <c r="M785" s="7"/>
      <c r="N785" s="7"/>
      <c r="O785" s="7"/>
      <c r="P785" s="7"/>
      <c r="Q785" s="7"/>
      <c r="R785" s="7"/>
      <c r="S785" s="7"/>
      <c r="T785" s="7"/>
      <c r="U785" s="7"/>
      <c r="V785" s="7"/>
      <c r="W785" s="7"/>
      <c r="X785" s="7"/>
      <c r="Y785" s="7"/>
    </row>
    <row r="786" spans="1:25" ht="15">
      <c r="A786" s="81"/>
      <c r="B786" s="7"/>
      <c r="C786" s="7"/>
      <c r="D786" s="7"/>
      <c r="E786" s="7"/>
      <c r="F786" s="7"/>
      <c r="G786" s="7"/>
      <c r="H786" s="7"/>
      <c r="J786" s="7"/>
      <c r="K786" s="7"/>
      <c r="L786" s="7"/>
      <c r="M786" s="7"/>
      <c r="N786" s="7"/>
      <c r="O786" s="7"/>
      <c r="P786" s="7"/>
      <c r="Q786" s="7"/>
      <c r="R786" s="7"/>
      <c r="S786" s="7"/>
      <c r="T786" s="7"/>
      <c r="U786" s="7"/>
      <c r="V786" s="7"/>
      <c r="W786" s="7"/>
      <c r="X786" s="7"/>
      <c r="Y786" s="7"/>
    </row>
    <row r="787" spans="1:25" ht="15">
      <c r="A787" s="81"/>
      <c r="B787" s="7"/>
      <c r="C787" s="7"/>
      <c r="D787" s="7"/>
      <c r="E787" s="7"/>
      <c r="F787" s="7"/>
      <c r="G787" s="7"/>
      <c r="H787" s="7"/>
      <c r="J787" s="7"/>
      <c r="K787" s="7"/>
      <c r="L787" s="7"/>
      <c r="M787" s="7"/>
      <c r="N787" s="7"/>
      <c r="O787" s="7"/>
      <c r="P787" s="7"/>
      <c r="Q787" s="7"/>
      <c r="R787" s="7"/>
      <c r="S787" s="7"/>
      <c r="T787" s="7"/>
      <c r="U787" s="7"/>
      <c r="V787" s="7"/>
      <c r="W787" s="7"/>
      <c r="X787" s="7"/>
      <c r="Y787" s="7"/>
    </row>
    <row r="788" spans="1:25" ht="15">
      <c r="A788" s="81"/>
      <c r="B788" s="7"/>
      <c r="C788" s="7"/>
      <c r="D788" s="7"/>
      <c r="E788" s="7"/>
      <c r="F788" s="7"/>
      <c r="G788" s="7"/>
      <c r="H788" s="7"/>
      <c r="J788" s="7"/>
      <c r="K788" s="7"/>
      <c r="L788" s="7"/>
      <c r="M788" s="7"/>
      <c r="N788" s="7"/>
      <c r="O788" s="7"/>
      <c r="P788" s="7"/>
      <c r="Q788" s="7"/>
      <c r="R788" s="7"/>
      <c r="S788" s="7"/>
      <c r="T788" s="7"/>
      <c r="U788" s="7"/>
      <c r="V788" s="7"/>
      <c r="W788" s="7"/>
      <c r="X788" s="7"/>
      <c r="Y788" s="7"/>
    </row>
    <row r="789" spans="1:25" ht="15">
      <c r="A789" s="81"/>
      <c r="B789" s="7"/>
      <c r="C789" s="7"/>
      <c r="D789" s="7"/>
      <c r="E789" s="7"/>
      <c r="F789" s="7"/>
      <c r="G789" s="7"/>
      <c r="H789" s="7"/>
      <c r="J789" s="7"/>
      <c r="K789" s="7"/>
      <c r="L789" s="7"/>
      <c r="M789" s="7"/>
      <c r="N789" s="7"/>
      <c r="O789" s="7"/>
      <c r="P789" s="7"/>
      <c r="Q789" s="7"/>
      <c r="R789" s="7"/>
      <c r="S789" s="7"/>
      <c r="T789" s="7"/>
      <c r="U789" s="7"/>
      <c r="V789" s="7"/>
      <c r="W789" s="7"/>
      <c r="X789" s="7"/>
      <c r="Y789" s="7"/>
    </row>
    <row r="790" spans="1:25" ht="15">
      <c r="A790" s="81"/>
      <c r="B790" s="7"/>
      <c r="C790" s="7"/>
      <c r="D790" s="7"/>
      <c r="E790" s="7"/>
      <c r="F790" s="7"/>
      <c r="G790" s="7"/>
      <c r="H790" s="7"/>
      <c r="J790" s="7"/>
      <c r="K790" s="7"/>
      <c r="L790" s="7"/>
      <c r="M790" s="7"/>
      <c r="N790" s="7"/>
      <c r="O790" s="7"/>
      <c r="P790" s="7"/>
      <c r="Q790" s="7"/>
      <c r="R790" s="7"/>
      <c r="S790" s="7"/>
      <c r="T790" s="7"/>
      <c r="U790" s="7"/>
      <c r="V790" s="7"/>
      <c r="W790" s="7"/>
      <c r="X790" s="7"/>
      <c r="Y790" s="7"/>
    </row>
    <row r="791" spans="1:25" ht="15">
      <c r="A791" s="81"/>
      <c r="B791" s="7"/>
      <c r="C791" s="7"/>
      <c r="D791" s="7"/>
      <c r="E791" s="7"/>
      <c r="F791" s="7"/>
      <c r="G791" s="7"/>
      <c r="H791" s="7"/>
      <c r="J791" s="7"/>
      <c r="K791" s="7"/>
      <c r="L791" s="7"/>
      <c r="M791" s="7"/>
      <c r="N791" s="7"/>
      <c r="O791" s="7"/>
      <c r="P791" s="7"/>
      <c r="Q791" s="7"/>
      <c r="R791" s="7"/>
      <c r="S791" s="7"/>
      <c r="T791" s="7"/>
      <c r="U791" s="7"/>
      <c r="V791" s="7"/>
      <c r="W791" s="7"/>
      <c r="X791" s="7"/>
      <c r="Y791" s="7"/>
    </row>
    <row r="792" spans="1:25" ht="15">
      <c r="A792" s="81"/>
      <c r="B792" s="7"/>
      <c r="C792" s="7"/>
      <c r="D792" s="7"/>
      <c r="E792" s="7"/>
      <c r="F792" s="7"/>
      <c r="G792" s="7"/>
      <c r="H792" s="7"/>
      <c r="J792" s="7"/>
      <c r="K792" s="7"/>
      <c r="L792" s="7"/>
      <c r="M792" s="7"/>
      <c r="N792" s="7"/>
      <c r="O792" s="7"/>
      <c r="P792" s="7"/>
      <c r="Q792" s="7"/>
      <c r="R792" s="7"/>
      <c r="S792" s="7"/>
      <c r="T792" s="7"/>
      <c r="U792" s="7"/>
      <c r="V792" s="7"/>
      <c r="W792" s="7"/>
      <c r="X792" s="7"/>
      <c r="Y792" s="7"/>
    </row>
    <row r="793" spans="1:25" ht="15">
      <c r="A793" s="81"/>
      <c r="B793" s="7"/>
      <c r="C793" s="7"/>
      <c r="D793" s="7"/>
      <c r="E793" s="7"/>
      <c r="F793" s="7"/>
      <c r="G793" s="7"/>
      <c r="H793" s="7"/>
      <c r="J793" s="7"/>
      <c r="K793" s="7"/>
      <c r="L793" s="7"/>
      <c r="M793" s="7"/>
      <c r="N793" s="7"/>
      <c r="O793" s="7"/>
      <c r="P793" s="7"/>
      <c r="Q793" s="7"/>
      <c r="R793" s="7"/>
      <c r="S793" s="7"/>
      <c r="T793" s="7"/>
      <c r="U793" s="7"/>
      <c r="V793" s="7"/>
      <c r="W793" s="7"/>
      <c r="X793" s="7"/>
      <c r="Y793" s="7"/>
    </row>
    <row r="794" spans="1:25" ht="15">
      <c r="A794" s="81"/>
      <c r="B794" s="7"/>
      <c r="C794" s="7"/>
      <c r="D794" s="7"/>
      <c r="E794" s="7"/>
      <c r="F794" s="7"/>
      <c r="G794" s="7"/>
      <c r="H794" s="7"/>
      <c r="J794" s="7"/>
      <c r="K794" s="7"/>
      <c r="L794" s="7"/>
      <c r="M794" s="7"/>
      <c r="N794" s="7"/>
      <c r="O794" s="7"/>
      <c r="P794" s="7"/>
      <c r="Q794" s="7"/>
      <c r="R794" s="7"/>
      <c r="S794" s="7"/>
      <c r="T794" s="7"/>
      <c r="U794" s="7"/>
      <c r="V794" s="7"/>
      <c r="W794" s="7"/>
      <c r="X794" s="7"/>
      <c r="Y794" s="7"/>
    </row>
    <row r="795" spans="1:25" ht="15">
      <c r="A795" s="81"/>
      <c r="B795" s="7"/>
      <c r="C795" s="7"/>
      <c r="D795" s="7"/>
      <c r="E795" s="7"/>
      <c r="F795" s="7"/>
      <c r="G795" s="7"/>
      <c r="H795" s="7"/>
      <c r="J795" s="7"/>
      <c r="K795" s="7"/>
      <c r="L795" s="7"/>
      <c r="M795" s="7"/>
      <c r="N795" s="7"/>
      <c r="O795" s="7"/>
      <c r="P795" s="7"/>
      <c r="Q795" s="7"/>
      <c r="R795" s="7"/>
      <c r="S795" s="7"/>
      <c r="T795" s="7"/>
      <c r="U795" s="7"/>
      <c r="V795" s="7"/>
      <c r="W795" s="7"/>
      <c r="X795" s="7"/>
      <c r="Y795" s="7"/>
    </row>
    <row r="796" spans="1:25" ht="15">
      <c r="A796" s="81"/>
      <c r="B796" s="7"/>
      <c r="C796" s="7"/>
      <c r="D796" s="7"/>
      <c r="E796" s="7"/>
      <c r="F796" s="7"/>
      <c r="G796" s="7"/>
      <c r="H796" s="7"/>
      <c r="J796" s="7"/>
      <c r="K796" s="7"/>
      <c r="L796" s="7"/>
      <c r="M796" s="7"/>
      <c r="N796" s="7"/>
      <c r="O796" s="7"/>
      <c r="P796" s="7"/>
      <c r="Q796" s="7"/>
      <c r="R796" s="7"/>
      <c r="S796" s="7"/>
      <c r="T796" s="7"/>
      <c r="U796" s="7"/>
      <c r="V796" s="7"/>
      <c r="W796" s="7"/>
      <c r="X796" s="7"/>
      <c r="Y796" s="7"/>
    </row>
    <row r="797" spans="1:25" ht="15">
      <c r="A797" s="81"/>
      <c r="B797" s="7"/>
      <c r="C797" s="7"/>
      <c r="D797" s="7"/>
      <c r="E797" s="7"/>
      <c r="F797" s="7"/>
      <c r="G797" s="7"/>
      <c r="H797" s="7"/>
      <c r="J797" s="7"/>
      <c r="K797" s="7"/>
      <c r="L797" s="7"/>
      <c r="M797" s="7"/>
      <c r="N797" s="7"/>
      <c r="O797" s="7"/>
      <c r="P797" s="7"/>
      <c r="Q797" s="7"/>
      <c r="R797" s="7"/>
      <c r="S797" s="7"/>
      <c r="T797" s="7"/>
      <c r="U797" s="7"/>
      <c r="V797" s="7"/>
      <c r="W797" s="7"/>
      <c r="X797" s="7"/>
      <c r="Y797" s="7"/>
    </row>
    <row r="798" spans="1:25" ht="15">
      <c r="A798" s="81"/>
      <c r="B798" s="7"/>
      <c r="C798" s="7"/>
      <c r="D798" s="7"/>
      <c r="E798" s="7"/>
      <c r="F798" s="7"/>
      <c r="G798" s="7"/>
      <c r="H798" s="7"/>
      <c r="J798" s="7"/>
      <c r="K798" s="7"/>
      <c r="L798" s="7"/>
      <c r="M798" s="7"/>
      <c r="N798" s="7"/>
      <c r="O798" s="7"/>
      <c r="P798" s="7"/>
      <c r="Q798" s="7"/>
      <c r="R798" s="7"/>
      <c r="S798" s="7"/>
      <c r="T798" s="7"/>
      <c r="U798" s="7"/>
      <c r="V798" s="7"/>
      <c r="W798" s="7"/>
      <c r="X798" s="7"/>
      <c r="Y798" s="7"/>
    </row>
    <row r="799" spans="1:25" ht="15">
      <c r="A799" s="81"/>
      <c r="B799" s="7"/>
      <c r="C799" s="7"/>
      <c r="D799" s="7"/>
      <c r="E799" s="7"/>
      <c r="F799" s="7"/>
      <c r="G799" s="7"/>
      <c r="H799" s="7"/>
      <c r="J799" s="7"/>
      <c r="K799" s="7"/>
      <c r="L799" s="7"/>
      <c r="M799" s="7"/>
      <c r="N799" s="7"/>
      <c r="O799" s="7"/>
      <c r="P799" s="7"/>
      <c r="Q799" s="7"/>
      <c r="R799" s="7"/>
      <c r="S799" s="7"/>
      <c r="T799" s="7"/>
      <c r="U799" s="7"/>
      <c r="V799" s="7"/>
      <c r="W799" s="7"/>
      <c r="X799" s="7"/>
      <c r="Y799" s="7"/>
    </row>
    <row r="800" spans="1:25" ht="15">
      <c r="A800" s="81"/>
      <c r="B800" s="7"/>
      <c r="C800" s="7"/>
      <c r="D800" s="7"/>
      <c r="E800" s="7"/>
      <c r="F800" s="7"/>
      <c r="G800" s="7"/>
      <c r="H800" s="7"/>
      <c r="J800" s="7"/>
      <c r="K800" s="7"/>
      <c r="L800" s="7"/>
      <c r="M800" s="7"/>
      <c r="N800" s="7"/>
      <c r="O800" s="7"/>
      <c r="P800" s="7"/>
      <c r="Q800" s="7"/>
      <c r="R800" s="7"/>
      <c r="S800" s="7"/>
      <c r="T800" s="7"/>
      <c r="U800" s="7"/>
      <c r="V800" s="7"/>
      <c r="W800" s="7"/>
      <c r="X800" s="7"/>
      <c r="Y800" s="7"/>
    </row>
    <row r="801" spans="1:25" ht="15">
      <c r="A801" s="81"/>
      <c r="B801" s="7"/>
      <c r="C801" s="7"/>
      <c r="D801" s="7"/>
      <c r="E801" s="7"/>
      <c r="F801" s="7"/>
      <c r="G801" s="7"/>
      <c r="H801" s="7"/>
      <c r="J801" s="7"/>
      <c r="K801" s="7"/>
      <c r="L801" s="7"/>
      <c r="M801" s="7"/>
      <c r="N801" s="7"/>
      <c r="O801" s="7"/>
      <c r="P801" s="7"/>
      <c r="Q801" s="7"/>
      <c r="R801" s="7"/>
      <c r="S801" s="7"/>
      <c r="T801" s="7"/>
      <c r="U801" s="7"/>
      <c r="V801" s="7"/>
      <c r="W801" s="7"/>
      <c r="X801" s="7"/>
      <c r="Y801" s="7"/>
    </row>
    <row r="802" spans="1:25" ht="15">
      <c r="A802" s="81"/>
      <c r="B802" s="7"/>
      <c r="C802" s="7"/>
      <c r="D802" s="7"/>
      <c r="E802" s="7"/>
      <c r="F802" s="7"/>
      <c r="G802" s="7"/>
      <c r="H802" s="7"/>
      <c r="J802" s="7"/>
      <c r="K802" s="7"/>
      <c r="L802" s="7"/>
      <c r="M802" s="7"/>
      <c r="N802" s="7"/>
      <c r="O802" s="7"/>
      <c r="P802" s="7"/>
      <c r="Q802" s="7"/>
      <c r="R802" s="7"/>
      <c r="S802" s="7"/>
      <c r="T802" s="7"/>
      <c r="U802" s="7"/>
      <c r="V802" s="7"/>
      <c r="W802" s="7"/>
      <c r="X802" s="7"/>
      <c r="Y802" s="7"/>
    </row>
    <row r="803" spans="1:25" ht="15">
      <c r="A803" s="81"/>
      <c r="B803" s="7"/>
      <c r="C803" s="7"/>
      <c r="D803" s="7"/>
      <c r="E803" s="7"/>
      <c r="F803" s="7"/>
      <c r="G803" s="7"/>
      <c r="H803" s="7"/>
      <c r="J803" s="7"/>
      <c r="K803" s="7"/>
      <c r="L803" s="7"/>
      <c r="M803" s="7"/>
      <c r="N803" s="7"/>
      <c r="O803" s="7"/>
      <c r="P803" s="7"/>
      <c r="Q803" s="7"/>
      <c r="R803" s="7"/>
      <c r="S803" s="7"/>
      <c r="T803" s="7"/>
      <c r="U803" s="7"/>
      <c r="V803" s="7"/>
      <c r="W803" s="7"/>
      <c r="X803" s="7"/>
      <c r="Y803" s="7"/>
    </row>
    <row r="804" spans="1:25" ht="15">
      <c r="A804" s="81"/>
      <c r="B804" s="7"/>
      <c r="C804" s="7"/>
      <c r="D804" s="7"/>
      <c r="E804" s="7"/>
      <c r="F804" s="7"/>
      <c r="G804" s="7"/>
      <c r="H804" s="7"/>
      <c r="J804" s="7"/>
      <c r="K804" s="7"/>
      <c r="L804" s="7"/>
      <c r="M804" s="7"/>
      <c r="N804" s="7"/>
      <c r="O804" s="7"/>
      <c r="P804" s="7"/>
      <c r="Q804" s="7"/>
      <c r="R804" s="7"/>
      <c r="S804" s="7"/>
      <c r="T804" s="7"/>
      <c r="U804" s="7"/>
      <c r="V804" s="7"/>
      <c r="W804" s="7"/>
      <c r="X804" s="7"/>
      <c r="Y804" s="7"/>
    </row>
    <row r="805" spans="1:25" ht="15">
      <c r="A805" s="81"/>
      <c r="B805" s="7"/>
      <c r="C805" s="7"/>
      <c r="D805" s="7"/>
      <c r="E805" s="7"/>
      <c r="F805" s="7"/>
      <c r="G805" s="7"/>
      <c r="H805" s="7"/>
      <c r="J805" s="7"/>
      <c r="K805" s="7"/>
      <c r="L805" s="7"/>
      <c r="M805" s="7"/>
      <c r="N805" s="7"/>
      <c r="O805" s="7"/>
      <c r="P805" s="7"/>
      <c r="Q805" s="7"/>
      <c r="R805" s="7"/>
      <c r="S805" s="7"/>
      <c r="T805" s="7"/>
      <c r="U805" s="7"/>
      <c r="V805" s="7"/>
      <c r="W805" s="7"/>
      <c r="X805" s="7"/>
      <c r="Y805" s="7"/>
    </row>
    <row r="806" spans="1:25" ht="15">
      <c r="A806" s="81"/>
      <c r="B806" s="7"/>
      <c r="C806" s="7"/>
      <c r="D806" s="7"/>
      <c r="E806" s="7"/>
      <c r="F806" s="7"/>
      <c r="G806" s="7"/>
      <c r="H806" s="7"/>
      <c r="J806" s="7"/>
      <c r="K806" s="7"/>
      <c r="L806" s="7"/>
      <c r="M806" s="7"/>
      <c r="N806" s="7"/>
      <c r="O806" s="7"/>
      <c r="P806" s="7"/>
      <c r="Q806" s="7"/>
      <c r="R806" s="7"/>
      <c r="S806" s="7"/>
      <c r="T806" s="7"/>
      <c r="U806" s="7"/>
      <c r="V806" s="7"/>
      <c r="W806" s="7"/>
      <c r="X806" s="7"/>
      <c r="Y806" s="7"/>
    </row>
    <row r="807" spans="1:25" ht="15">
      <c r="A807" s="81"/>
      <c r="B807" s="7"/>
      <c r="C807" s="7"/>
      <c r="D807" s="7"/>
      <c r="E807" s="7"/>
      <c r="F807" s="7"/>
      <c r="G807" s="7"/>
      <c r="H807" s="7"/>
      <c r="J807" s="7"/>
      <c r="K807" s="7"/>
      <c r="L807" s="7"/>
      <c r="M807" s="7"/>
      <c r="N807" s="7"/>
      <c r="O807" s="7"/>
      <c r="P807" s="7"/>
      <c r="Q807" s="7"/>
      <c r="R807" s="7"/>
      <c r="S807" s="7"/>
      <c r="T807" s="7"/>
      <c r="U807" s="7"/>
      <c r="V807" s="7"/>
      <c r="W807" s="7"/>
      <c r="X807" s="7"/>
      <c r="Y807" s="7"/>
    </row>
    <row r="808" spans="1:25" ht="15">
      <c r="A808" s="81"/>
      <c r="B808" s="7"/>
      <c r="C808" s="7"/>
      <c r="D808" s="7"/>
      <c r="E808" s="7"/>
      <c r="F808" s="7"/>
      <c r="G808" s="7"/>
      <c r="H808" s="7"/>
      <c r="J808" s="7"/>
      <c r="K808" s="7"/>
      <c r="L808" s="7"/>
      <c r="M808" s="7"/>
      <c r="N808" s="7"/>
      <c r="O808" s="7"/>
      <c r="P808" s="7"/>
      <c r="Q808" s="7"/>
      <c r="R808" s="7"/>
      <c r="S808" s="7"/>
      <c r="T808" s="7"/>
      <c r="U808" s="7"/>
      <c r="V808" s="7"/>
      <c r="W808" s="7"/>
      <c r="X808" s="7"/>
      <c r="Y808" s="7"/>
    </row>
    <row r="809" spans="1:25" ht="15">
      <c r="A809" s="81"/>
      <c r="B809" s="7"/>
      <c r="C809" s="7"/>
      <c r="D809" s="7"/>
      <c r="E809" s="7"/>
      <c r="F809" s="7"/>
      <c r="G809" s="7"/>
      <c r="H809" s="7"/>
      <c r="J809" s="7"/>
      <c r="K809" s="7"/>
      <c r="L809" s="7"/>
      <c r="M809" s="7"/>
      <c r="N809" s="7"/>
      <c r="O809" s="7"/>
      <c r="P809" s="7"/>
      <c r="Q809" s="7"/>
      <c r="R809" s="7"/>
      <c r="S809" s="7"/>
      <c r="T809" s="7"/>
      <c r="U809" s="7"/>
      <c r="V809" s="7"/>
      <c r="W809" s="7"/>
      <c r="X809" s="7"/>
      <c r="Y809" s="7"/>
    </row>
    <row r="810" spans="1:25" ht="15">
      <c r="A810" s="81"/>
      <c r="B810" s="7"/>
      <c r="C810" s="7"/>
      <c r="D810" s="7"/>
      <c r="E810" s="7"/>
      <c r="F810" s="7"/>
      <c r="G810" s="7"/>
      <c r="H810" s="7"/>
      <c r="J810" s="7"/>
      <c r="K810" s="7"/>
      <c r="L810" s="7"/>
      <c r="M810" s="7"/>
      <c r="N810" s="7"/>
      <c r="O810" s="7"/>
      <c r="P810" s="7"/>
      <c r="Q810" s="7"/>
      <c r="R810" s="7"/>
      <c r="S810" s="7"/>
      <c r="T810" s="7"/>
      <c r="U810" s="7"/>
      <c r="V810" s="7"/>
      <c r="W810" s="7"/>
      <c r="X810" s="7"/>
      <c r="Y810" s="7"/>
    </row>
    <row r="811" spans="1:25" ht="15">
      <c r="A811" s="81"/>
      <c r="B811" s="7"/>
      <c r="C811" s="7"/>
      <c r="D811" s="7"/>
      <c r="E811" s="7"/>
      <c r="F811" s="7"/>
      <c r="G811" s="7"/>
      <c r="H811" s="7"/>
      <c r="J811" s="7"/>
      <c r="K811" s="7"/>
      <c r="L811" s="7"/>
      <c r="M811" s="7"/>
      <c r="N811" s="7"/>
      <c r="O811" s="7"/>
      <c r="P811" s="7"/>
      <c r="Q811" s="7"/>
      <c r="R811" s="7"/>
      <c r="S811" s="7"/>
      <c r="T811" s="7"/>
      <c r="U811" s="7"/>
      <c r="V811" s="7"/>
      <c r="W811" s="7"/>
      <c r="X811" s="7"/>
      <c r="Y811" s="7"/>
    </row>
    <row r="812" spans="1:25" ht="15">
      <c r="A812" s="81"/>
      <c r="B812" s="7"/>
      <c r="C812" s="7"/>
      <c r="D812" s="7"/>
      <c r="E812" s="7"/>
      <c r="F812" s="7"/>
      <c r="G812" s="7"/>
      <c r="H812" s="7"/>
      <c r="J812" s="7"/>
      <c r="K812" s="7"/>
      <c r="L812" s="7"/>
      <c r="M812" s="7"/>
      <c r="N812" s="7"/>
      <c r="O812" s="7"/>
      <c r="P812" s="7"/>
      <c r="Q812" s="7"/>
      <c r="R812" s="7"/>
      <c r="S812" s="7"/>
      <c r="T812" s="7"/>
      <c r="U812" s="7"/>
      <c r="V812" s="7"/>
      <c r="W812" s="7"/>
      <c r="X812" s="7"/>
      <c r="Y812" s="7"/>
    </row>
    <row r="813" spans="1:25" ht="15">
      <c r="A813" s="81"/>
      <c r="B813" s="7"/>
      <c r="C813" s="7"/>
      <c r="D813" s="7"/>
      <c r="E813" s="7"/>
      <c r="F813" s="7"/>
      <c r="G813" s="7"/>
      <c r="H813" s="7"/>
      <c r="J813" s="7"/>
      <c r="K813" s="7"/>
      <c r="L813" s="7"/>
      <c r="M813" s="7"/>
      <c r="N813" s="7"/>
      <c r="O813" s="7"/>
      <c r="P813" s="7"/>
      <c r="Q813" s="7"/>
      <c r="R813" s="7"/>
      <c r="S813" s="7"/>
      <c r="T813" s="7"/>
      <c r="U813" s="7"/>
      <c r="V813" s="7"/>
      <c r="W813" s="7"/>
      <c r="X813" s="7"/>
      <c r="Y813" s="7"/>
    </row>
    <row r="814" spans="1:25" ht="15">
      <c r="A814" s="81"/>
      <c r="B814" s="7"/>
      <c r="C814" s="7"/>
      <c r="D814" s="7"/>
      <c r="E814" s="7"/>
      <c r="F814" s="7"/>
      <c r="G814" s="7"/>
      <c r="H814" s="7"/>
      <c r="J814" s="7"/>
      <c r="K814" s="7"/>
      <c r="L814" s="7"/>
      <c r="M814" s="7"/>
      <c r="N814" s="7"/>
      <c r="O814" s="7"/>
      <c r="P814" s="7"/>
      <c r="Q814" s="7"/>
      <c r="R814" s="7"/>
      <c r="S814" s="7"/>
      <c r="T814" s="7"/>
      <c r="U814" s="7"/>
      <c r="V814" s="7"/>
      <c r="W814" s="7"/>
      <c r="X814" s="7"/>
      <c r="Y814" s="7"/>
    </row>
    <row r="815" spans="1:25" ht="15">
      <c r="A815" s="81"/>
      <c r="B815" s="7"/>
      <c r="C815" s="7"/>
      <c r="D815" s="7"/>
      <c r="E815" s="7"/>
      <c r="F815" s="7"/>
      <c r="G815" s="7"/>
      <c r="H815" s="7"/>
      <c r="J815" s="7"/>
      <c r="K815" s="7"/>
      <c r="L815" s="7"/>
      <c r="M815" s="7"/>
      <c r="N815" s="7"/>
      <c r="O815" s="7"/>
      <c r="P815" s="7"/>
      <c r="Q815" s="7"/>
      <c r="R815" s="7"/>
      <c r="S815" s="7"/>
      <c r="T815" s="7"/>
      <c r="U815" s="7"/>
      <c r="V815" s="7"/>
      <c r="W815" s="7"/>
      <c r="X815" s="7"/>
      <c r="Y815" s="7"/>
    </row>
    <row r="816" spans="1:25" ht="15">
      <c r="A816" s="81"/>
      <c r="B816" s="7"/>
      <c r="C816" s="7"/>
      <c r="D816" s="7"/>
      <c r="E816" s="7"/>
      <c r="F816" s="7"/>
      <c r="G816" s="7"/>
      <c r="H816" s="7"/>
      <c r="J816" s="7"/>
      <c r="K816" s="7"/>
      <c r="L816" s="7"/>
      <c r="M816" s="7"/>
      <c r="N816" s="7"/>
      <c r="O816" s="7"/>
      <c r="P816" s="7"/>
      <c r="Q816" s="7"/>
      <c r="R816" s="7"/>
      <c r="S816" s="7"/>
      <c r="T816" s="7"/>
      <c r="U816" s="7"/>
      <c r="V816" s="7"/>
      <c r="W816" s="7"/>
      <c r="X816" s="7"/>
      <c r="Y816" s="7"/>
    </row>
    <row r="817" spans="1:25" ht="15">
      <c r="A817" s="81"/>
      <c r="B817" s="7"/>
      <c r="C817" s="7"/>
      <c r="D817" s="7"/>
      <c r="E817" s="7"/>
      <c r="F817" s="7"/>
      <c r="G817" s="7"/>
      <c r="H817" s="7"/>
      <c r="J817" s="7"/>
      <c r="K817" s="7"/>
      <c r="L817" s="7"/>
      <c r="M817" s="7"/>
      <c r="N817" s="7"/>
      <c r="O817" s="7"/>
      <c r="P817" s="7"/>
      <c r="Q817" s="7"/>
      <c r="R817" s="7"/>
      <c r="S817" s="7"/>
      <c r="T817" s="7"/>
      <c r="U817" s="7"/>
      <c r="V817" s="7"/>
      <c r="W817" s="7"/>
      <c r="X817" s="7"/>
      <c r="Y817" s="7"/>
    </row>
    <row r="818" spans="1:25" ht="15">
      <c r="A818" s="81"/>
      <c r="B818" s="7"/>
      <c r="C818" s="7"/>
      <c r="D818" s="7"/>
      <c r="E818" s="7"/>
      <c r="F818" s="7"/>
      <c r="G818" s="7"/>
      <c r="H818" s="7"/>
      <c r="J818" s="7"/>
      <c r="K818" s="7"/>
      <c r="L818" s="7"/>
      <c r="M818" s="7"/>
      <c r="N818" s="7"/>
      <c r="O818" s="7"/>
      <c r="P818" s="7"/>
      <c r="Q818" s="7"/>
      <c r="R818" s="7"/>
      <c r="S818" s="7"/>
      <c r="T818" s="7"/>
      <c r="U818" s="7"/>
      <c r="V818" s="7"/>
      <c r="W818" s="7"/>
      <c r="X818" s="7"/>
      <c r="Y818" s="7"/>
    </row>
    <row r="819" spans="1:25" ht="15">
      <c r="A819" s="81"/>
      <c r="B819" s="7"/>
      <c r="C819" s="7"/>
      <c r="D819" s="7"/>
      <c r="E819" s="7"/>
      <c r="F819" s="7"/>
      <c r="G819" s="7"/>
      <c r="H819" s="7"/>
      <c r="J819" s="7"/>
      <c r="K819" s="7"/>
      <c r="L819" s="7"/>
      <c r="M819" s="7"/>
      <c r="N819" s="7"/>
      <c r="O819" s="7"/>
      <c r="P819" s="7"/>
      <c r="Q819" s="7"/>
      <c r="R819" s="7"/>
      <c r="S819" s="7"/>
      <c r="T819" s="7"/>
      <c r="U819" s="7"/>
      <c r="V819" s="7"/>
      <c r="W819" s="7"/>
      <c r="X819" s="7"/>
      <c r="Y819" s="7"/>
    </row>
    <row r="820" spans="1:25" ht="15">
      <c r="A820" s="81"/>
      <c r="B820" s="7"/>
      <c r="C820" s="7"/>
      <c r="D820" s="7"/>
      <c r="E820" s="7"/>
      <c r="F820" s="7"/>
      <c r="G820" s="7"/>
      <c r="H820" s="7"/>
      <c r="J820" s="7"/>
      <c r="K820" s="7"/>
      <c r="L820" s="7"/>
      <c r="M820" s="7"/>
      <c r="N820" s="7"/>
      <c r="O820" s="7"/>
      <c r="P820" s="7"/>
      <c r="Q820" s="7"/>
      <c r="R820" s="7"/>
      <c r="S820" s="7"/>
      <c r="T820" s="7"/>
      <c r="U820" s="7"/>
      <c r="V820" s="7"/>
      <c r="W820" s="7"/>
      <c r="X820" s="7"/>
      <c r="Y820" s="7"/>
    </row>
    <row r="821" spans="1:25" ht="15">
      <c r="A821" s="81"/>
      <c r="B821" s="7"/>
      <c r="C821" s="7"/>
      <c r="D821" s="7"/>
      <c r="E821" s="7"/>
      <c r="F821" s="7"/>
      <c r="G821" s="7"/>
      <c r="H821" s="7"/>
      <c r="J821" s="7"/>
      <c r="K821" s="7"/>
      <c r="L821" s="7"/>
      <c r="M821" s="7"/>
      <c r="N821" s="7"/>
      <c r="O821" s="7"/>
      <c r="P821" s="7"/>
      <c r="Q821" s="7"/>
      <c r="R821" s="7"/>
      <c r="S821" s="7"/>
      <c r="T821" s="7"/>
      <c r="U821" s="7"/>
      <c r="V821" s="7"/>
      <c r="W821" s="7"/>
      <c r="X821" s="7"/>
      <c r="Y821" s="7"/>
    </row>
    <row r="822" spans="1:25" ht="15">
      <c r="A822" s="81"/>
      <c r="B822" s="7"/>
      <c r="C822" s="7"/>
      <c r="D822" s="7"/>
      <c r="E822" s="7"/>
      <c r="F822" s="7"/>
      <c r="G822" s="7"/>
      <c r="H822" s="7"/>
      <c r="J822" s="7"/>
      <c r="K822" s="7"/>
      <c r="L822" s="7"/>
      <c r="M822" s="7"/>
      <c r="N822" s="7"/>
      <c r="O822" s="7"/>
      <c r="P822" s="7"/>
      <c r="Q822" s="7"/>
      <c r="R822" s="7"/>
      <c r="S822" s="7"/>
      <c r="T822" s="7"/>
      <c r="U822" s="7"/>
      <c r="V822" s="7"/>
      <c r="W822" s="7"/>
      <c r="X822" s="7"/>
      <c r="Y822" s="7"/>
    </row>
    <row r="823" spans="1:25" ht="15">
      <c r="A823" s="81"/>
      <c r="B823" s="7"/>
      <c r="C823" s="7"/>
      <c r="D823" s="7"/>
      <c r="E823" s="7"/>
      <c r="F823" s="7"/>
      <c r="G823" s="7"/>
      <c r="H823" s="7"/>
      <c r="J823" s="7"/>
      <c r="K823" s="7"/>
      <c r="L823" s="7"/>
      <c r="M823" s="7"/>
      <c r="N823" s="7"/>
      <c r="O823" s="7"/>
      <c r="P823" s="7"/>
      <c r="Q823" s="7"/>
      <c r="R823" s="7"/>
      <c r="S823" s="7"/>
      <c r="T823" s="7"/>
      <c r="U823" s="7"/>
      <c r="V823" s="7"/>
      <c r="W823" s="7"/>
      <c r="X823" s="7"/>
      <c r="Y823" s="7"/>
    </row>
    <row r="824" spans="1:25" ht="15">
      <c r="A824" s="81"/>
      <c r="B824" s="7"/>
      <c r="C824" s="7"/>
      <c r="D824" s="7"/>
      <c r="E824" s="7"/>
      <c r="F824" s="7"/>
      <c r="G824" s="7"/>
      <c r="H824" s="7"/>
      <c r="J824" s="7"/>
      <c r="K824" s="7"/>
      <c r="L824" s="7"/>
      <c r="M824" s="7"/>
      <c r="N824" s="7"/>
      <c r="O824" s="7"/>
      <c r="P824" s="7"/>
      <c r="Q824" s="7"/>
      <c r="R824" s="7"/>
      <c r="S824" s="7"/>
      <c r="T824" s="7"/>
      <c r="U824" s="7"/>
      <c r="V824" s="7"/>
      <c r="W824" s="7"/>
      <c r="X824" s="7"/>
      <c r="Y824" s="7"/>
    </row>
    <row r="825" spans="1:25" ht="15">
      <c r="A825" s="81"/>
      <c r="B825" s="7"/>
      <c r="C825" s="7"/>
      <c r="D825" s="7"/>
      <c r="E825" s="7"/>
      <c r="F825" s="7"/>
      <c r="G825" s="7"/>
      <c r="H825" s="7"/>
      <c r="J825" s="7"/>
      <c r="K825" s="7"/>
      <c r="L825" s="7"/>
      <c r="M825" s="7"/>
      <c r="N825" s="7"/>
      <c r="O825" s="7"/>
      <c r="P825" s="7"/>
      <c r="Q825" s="7"/>
      <c r="R825" s="7"/>
      <c r="S825" s="7"/>
      <c r="T825" s="7"/>
      <c r="U825" s="7"/>
      <c r="V825" s="7"/>
      <c r="W825" s="7"/>
      <c r="X825" s="7"/>
      <c r="Y825" s="7"/>
    </row>
    <row r="826" spans="1:25" ht="15">
      <c r="A826" s="81"/>
      <c r="B826" s="7"/>
      <c r="C826" s="7"/>
      <c r="D826" s="7"/>
      <c r="E826" s="7"/>
      <c r="F826" s="7"/>
      <c r="G826" s="7"/>
      <c r="H826" s="7"/>
      <c r="J826" s="7"/>
      <c r="K826" s="7"/>
      <c r="L826" s="7"/>
      <c r="M826" s="7"/>
      <c r="N826" s="7"/>
      <c r="O826" s="7"/>
      <c r="P826" s="7"/>
      <c r="Q826" s="7"/>
      <c r="R826" s="7"/>
      <c r="S826" s="7"/>
      <c r="T826" s="7"/>
      <c r="U826" s="7"/>
      <c r="V826" s="7"/>
      <c r="W826" s="7"/>
      <c r="X826" s="7"/>
      <c r="Y826" s="7"/>
    </row>
    <row r="827" spans="1:25" ht="15">
      <c r="A827" s="81"/>
      <c r="B827" s="7"/>
      <c r="C827" s="7"/>
      <c r="D827" s="7"/>
      <c r="E827" s="7"/>
      <c r="F827" s="7"/>
      <c r="G827" s="7"/>
      <c r="H827" s="7"/>
      <c r="J827" s="7"/>
      <c r="K827" s="7"/>
      <c r="L827" s="7"/>
      <c r="M827" s="7"/>
      <c r="N827" s="7"/>
      <c r="O827" s="7"/>
      <c r="P827" s="7"/>
      <c r="Q827" s="7"/>
      <c r="R827" s="7"/>
      <c r="S827" s="7"/>
      <c r="T827" s="7"/>
      <c r="U827" s="7"/>
      <c r="V827" s="7"/>
      <c r="W827" s="7"/>
      <c r="X827" s="7"/>
      <c r="Y827" s="7"/>
    </row>
    <row r="828" spans="1:25" ht="15">
      <c r="A828" s="81"/>
      <c r="B828" s="7"/>
      <c r="C828" s="7"/>
      <c r="D828" s="7"/>
      <c r="E828" s="7"/>
      <c r="F828" s="7"/>
      <c r="G828" s="7"/>
      <c r="H828" s="7"/>
      <c r="J828" s="7"/>
      <c r="K828" s="7"/>
      <c r="L828" s="7"/>
      <c r="M828" s="7"/>
      <c r="N828" s="7"/>
      <c r="O828" s="7"/>
      <c r="P828" s="7"/>
      <c r="Q828" s="7"/>
      <c r="R828" s="7"/>
      <c r="S828" s="7"/>
      <c r="T828" s="7"/>
      <c r="U828" s="7"/>
      <c r="V828" s="7"/>
      <c r="W828" s="7"/>
      <c r="X828" s="7"/>
      <c r="Y828" s="7"/>
    </row>
    <row r="829" spans="1:25" ht="15">
      <c r="A829" s="81"/>
      <c r="B829" s="7"/>
      <c r="C829" s="7"/>
      <c r="D829" s="7"/>
      <c r="E829" s="7"/>
      <c r="F829" s="7"/>
      <c r="G829" s="7"/>
      <c r="H829" s="7"/>
      <c r="J829" s="7"/>
      <c r="K829" s="7"/>
      <c r="L829" s="7"/>
      <c r="M829" s="7"/>
      <c r="N829" s="7"/>
      <c r="O829" s="7"/>
      <c r="P829" s="7"/>
      <c r="Q829" s="7"/>
      <c r="R829" s="7"/>
      <c r="S829" s="7"/>
      <c r="T829" s="7"/>
      <c r="U829" s="7"/>
      <c r="V829" s="7"/>
      <c r="W829" s="7"/>
      <c r="X829" s="7"/>
      <c r="Y829" s="7"/>
    </row>
    <row r="830" spans="1:25" ht="15">
      <c r="A830" s="81"/>
      <c r="B830" s="7"/>
      <c r="C830" s="7"/>
      <c r="D830" s="7"/>
      <c r="E830" s="7"/>
      <c r="F830" s="7"/>
      <c r="G830" s="7"/>
      <c r="H830" s="7"/>
      <c r="J830" s="7"/>
      <c r="K830" s="7"/>
      <c r="L830" s="7"/>
      <c r="M830" s="7"/>
      <c r="N830" s="7"/>
      <c r="O830" s="7"/>
      <c r="P830" s="7"/>
      <c r="Q830" s="7"/>
      <c r="R830" s="7"/>
      <c r="S830" s="7"/>
      <c r="T830" s="7"/>
      <c r="U830" s="7"/>
      <c r="V830" s="7"/>
      <c r="W830" s="7"/>
      <c r="X830" s="7"/>
      <c r="Y830" s="7"/>
    </row>
    <row r="831" spans="1:25" ht="15">
      <c r="A831" s="81"/>
      <c r="B831" s="7"/>
      <c r="C831" s="7"/>
      <c r="D831" s="7"/>
      <c r="E831" s="7"/>
      <c r="F831" s="7"/>
      <c r="G831" s="7"/>
      <c r="H831" s="7"/>
      <c r="J831" s="7"/>
      <c r="K831" s="7"/>
      <c r="L831" s="7"/>
      <c r="M831" s="7"/>
      <c r="N831" s="7"/>
      <c r="O831" s="7"/>
      <c r="P831" s="7"/>
      <c r="Q831" s="7"/>
      <c r="R831" s="7"/>
      <c r="S831" s="7"/>
      <c r="T831" s="7"/>
      <c r="U831" s="7"/>
      <c r="V831" s="7"/>
      <c r="W831" s="7"/>
      <c r="X831" s="7"/>
      <c r="Y831" s="7"/>
    </row>
    <row r="832" spans="1:25" ht="15">
      <c r="A832" s="81"/>
      <c r="B832" s="7"/>
      <c r="C832" s="7"/>
      <c r="D832" s="7"/>
      <c r="E832" s="7"/>
      <c r="F832" s="7"/>
      <c r="G832" s="7"/>
      <c r="H832" s="7"/>
      <c r="J832" s="7"/>
      <c r="K832" s="7"/>
      <c r="L832" s="7"/>
      <c r="M832" s="7"/>
      <c r="N832" s="7"/>
      <c r="O832" s="7"/>
      <c r="P832" s="7"/>
      <c r="Q832" s="7"/>
      <c r="R832" s="7"/>
      <c r="S832" s="7"/>
      <c r="T832" s="7"/>
      <c r="U832" s="7"/>
      <c r="V832" s="7"/>
      <c r="W832" s="7"/>
      <c r="X832" s="7"/>
      <c r="Y832" s="7"/>
    </row>
    <row r="833" spans="1:25" ht="15">
      <c r="A833" s="81"/>
      <c r="B833" s="7"/>
      <c r="C833" s="7"/>
      <c r="D833" s="7"/>
      <c r="E833" s="7"/>
      <c r="F833" s="7"/>
      <c r="G833" s="7"/>
      <c r="H833" s="7"/>
      <c r="J833" s="7"/>
      <c r="K833" s="7"/>
      <c r="L833" s="7"/>
      <c r="M833" s="7"/>
      <c r="N833" s="7"/>
      <c r="O833" s="7"/>
      <c r="P833" s="7"/>
      <c r="Q833" s="7"/>
      <c r="R833" s="7"/>
      <c r="S833" s="7"/>
      <c r="T833" s="7"/>
      <c r="U833" s="7"/>
      <c r="V833" s="7"/>
      <c r="W833" s="7"/>
      <c r="X833" s="7"/>
      <c r="Y833" s="7"/>
    </row>
    <row r="834" spans="1:25" ht="15">
      <c r="A834" s="81"/>
      <c r="B834" s="7"/>
      <c r="C834" s="7"/>
      <c r="D834" s="7"/>
      <c r="E834" s="7"/>
      <c r="F834" s="7"/>
      <c r="G834" s="7"/>
      <c r="H834" s="7"/>
      <c r="J834" s="7"/>
      <c r="K834" s="7"/>
      <c r="L834" s="7"/>
      <c r="M834" s="7"/>
      <c r="N834" s="7"/>
      <c r="O834" s="7"/>
      <c r="P834" s="7"/>
      <c r="Q834" s="7"/>
      <c r="R834" s="7"/>
      <c r="S834" s="7"/>
      <c r="T834" s="7"/>
      <c r="U834" s="7"/>
      <c r="V834" s="7"/>
      <c r="W834" s="7"/>
      <c r="X834" s="7"/>
      <c r="Y834" s="7"/>
    </row>
    <row r="835" spans="1:25" ht="15">
      <c r="A835" s="81"/>
      <c r="B835" s="7"/>
      <c r="C835" s="7"/>
      <c r="D835" s="7"/>
      <c r="E835" s="7"/>
      <c r="F835" s="7"/>
      <c r="G835" s="7"/>
      <c r="H835" s="7"/>
      <c r="J835" s="7"/>
      <c r="K835" s="7"/>
      <c r="L835" s="7"/>
      <c r="M835" s="7"/>
      <c r="N835" s="7"/>
      <c r="O835" s="7"/>
      <c r="P835" s="7"/>
      <c r="Q835" s="7"/>
      <c r="R835" s="7"/>
      <c r="S835" s="7"/>
      <c r="T835" s="7"/>
      <c r="U835" s="7"/>
      <c r="V835" s="7"/>
      <c r="W835" s="7"/>
      <c r="X835" s="7"/>
      <c r="Y835" s="7"/>
    </row>
    <row r="836" spans="1:25" ht="15">
      <c r="A836" s="81"/>
      <c r="B836" s="7"/>
      <c r="C836" s="7"/>
      <c r="D836" s="7"/>
      <c r="E836" s="7"/>
      <c r="F836" s="7"/>
      <c r="G836" s="7"/>
      <c r="H836" s="7"/>
      <c r="J836" s="7"/>
      <c r="K836" s="7"/>
      <c r="L836" s="7"/>
      <c r="M836" s="7"/>
      <c r="N836" s="7"/>
      <c r="O836" s="7"/>
      <c r="P836" s="7"/>
      <c r="Q836" s="7"/>
      <c r="R836" s="7"/>
      <c r="S836" s="7"/>
      <c r="T836" s="7"/>
      <c r="U836" s="7"/>
      <c r="V836" s="7"/>
      <c r="W836" s="7"/>
      <c r="X836" s="7"/>
      <c r="Y836" s="7"/>
    </row>
    <row r="837" spans="1:25" ht="15">
      <c r="A837" s="81"/>
      <c r="B837" s="7"/>
      <c r="C837" s="7"/>
      <c r="D837" s="7"/>
      <c r="E837" s="7"/>
      <c r="F837" s="7"/>
      <c r="G837" s="7"/>
      <c r="H837" s="7"/>
      <c r="J837" s="7"/>
      <c r="K837" s="7"/>
      <c r="L837" s="7"/>
      <c r="M837" s="7"/>
      <c r="N837" s="7"/>
      <c r="O837" s="7"/>
      <c r="P837" s="7"/>
      <c r="Q837" s="7"/>
      <c r="R837" s="7"/>
      <c r="S837" s="7"/>
      <c r="T837" s="7"/>
      <c r="U837" s="7"/>
      <c r="V837" s="7"/>
      <c r="W837" s="7"/>
      <c r="X837" s="7"/>
      <c r="Y837" s="7"/>
    </row>
    <row r="838" spans="1:25" ht="15">
      <c r="A838" s="81"/>
      <c r="B838" s="7"/>
      <c r="C838" s="7"/>
      <c r="D838" s="7"/>
      <c r="E838" s="7"/>
      <c r="F838" s="7"/>
      <c r="G838" s="7"/>
      <c r="H838" s="7"/>
      <c r="J838" s="7"/>
      <c r="K838" s="7"/>
      <c r="L838" s="7"/>
      <c r="M838" s="7"/>
      <c r="N838" s="7"/>
      <c r="O838" s="7"/>
      <c r="P838" s="7"/>
      <c r="Q838" s="7"/>
      <c r="R838" s="7"/>
      <c r="S838" s="7"/>
      <c r="T838" s="7"/>
      <c r="U838" s="7"/>
      <c r="V838" s="7"/>
      <c r="W838" s="7"/>
      <c r="X838" s="7"/>
      <c r="Y838" s="7"/>
    </row>
    <row r="839" spans="1:25" ht="15">
      <c r="A839" s="81"/>
      <c r="B839" s="7"/>
      <c r="C839" s="7"/>
      <c r="D839" s="7"/>
      <c r="E839" s="7"/>
      <c r="F839" s="7"/>
      <c r="G839" s="7"/>
      <c r="H839" s="7"/>
      <c r="J839" s="7"/>
      <c r="K839" s="7"/>
      <c r="L839" s="7"/>
      <c r="M839" s="7"/>
      <c r="N839" s="7"/>
      <c r="O839" s="7"/>
      <c r="P839" s="7"/>
      <c r="Q839" s="7"/>
      <c r="R839" s="7"/>
      <c r="S839" s="7"/>
      <c r="T839" s="7"/>
      <c r="U839" s="7"/>
      <c r="V839" s="7"/>
      <c r="W839" s="7"/>
      <c r="X839" s="7"/>
      <c r="Y839" s="7"/>
    </row>
    <row r="840" spans="1:25" ht="15">
      <c r="A840" s="81"/>
      <c r="B840" s="7"/>
      <c r="C840" s="7"/>
      <c r="D840" s="7"/>
      <c r="E840" s="7"/>
      <c r="F840" s="7"/>
      <c r="G840" s="7"/>
      <c r="H840" s="7"/>
      <c r="J840" s="7"/>
      <c r="K840" s="7"/>
      <c r="L840" s="7"/>
      <c r="M840" s="7"/>
      <c r="N840" s="7"/>
      <c r="O840" s="7"/>
      <c r="P840" s="7"/>
      <c r="Q840" s="7"/>
      <c r="R840" s="7"/>
      <c r="S840" s="7"/>
      <c r="T840" s="7"/>
      <c r="U840" s="7"/>
      <c r="V840" s="7"/>
      <c r="W840" s="7"/>
      <c r="X840" s="7"/>
      <c r="Y840" s="7"/>
    </row>
    <row r="841" spans="1:25" ht="15">
      <c r="A841" s="81"/>
      <c r="B841" s="7"/>
      <c r="C841" s="7"/>
      <c r="D841" s="7"/>
      <c r="E841" s="7"/>
      <c r="F841" s="7"/>
      <c r="G841" s="7"/>
      <c r="H841" s="7"/>
      <c r="J841" s="7"/>
      <c r="K841" s="7"/>
      <c r="L841" s="7"/>
      <c r="M841" s="7"/>
      <c r="N841" s="7"/>
      <c r="O841" s="7"/>
      <c r="P841" s="7"/>
      <c r="Q841" s="7"/>
      <c r="R841" s="7"/>
      <c r="S841" s="7"/>
      <c r="T841" s="7"/>
      <c r="U841" s="7"/>
      <c r="V841" s="7"/>
      <c r="W841" s="7"/>
      <c r="X841" s="7"/>
      <c r="Y841" s="7"/>
    </row>
    <row r="842" spans="1:25" ht="15">
      <c r="A842" s="81"/>
      <c r="B842" s="7"/>
      <c r="C842" s="7"/>
      <c r="D842" s="7"/>
      <c r="E842" s="7"/>
      <c r="F842" s="7"/>
      <c r="G842" s="7"/>
      <c r="H842" s="7"/>
      <c r="J842" s="7"/>
      <c r="K842" s="7"/>
      <c r="L842" s="7"/>
      <c r="M842" s="7"/>
      <c r="N842" s="7"/>
      <c r="O842" s="7"/>
      <c r="P842" s="7"/>
      <c r="Q842" s="7"/>
      <c r="R842" s="7"/>
      <c r="S842" s="7"/>
      <c r="T842" s="7"/>
      <c r="U842" s="7"/>
      <c r="V842" s="7"/>
      <c r="W842" s="7"/>
      <c r="X842" s="7"/>
      <c r="Y842" s="7"/>
    </row>
    <row r="843" spans="1:25" ht="15">
      <c r="A843" s="81"/>
      <c r="B843" s="7"/>
      <c r="C843" s="7"/>
      <c r="D843" s="7"/>
      <c r="E843" s="7"/>
      <c r="F843" s="7"/>
      <c r="G843" s="7"/>
      <c r="H843" s="7"/>
      <c r="J843" s="7"/>
      <c r="K843" s="7"/>
      <c r="L843" s="7"/>
      <c r="M843" s="7"/>
      <c r="N843" s="7"/>
      <c r="O843" s="7"/>
      <c r="P843" s="7"/>
      <c r="Q843" s="7"/>
      <c r="R843" s="7"/>
      <c r="S843" s="7"/>
      <c r="T843" s="7"/>
      <c r="U843" s="7"/>
      <c r="V843" s="7"/>
      <c r="W843" s="7"/>
      <c r="X843" s="7"/>
      <c r="Y843" s="7"/>
    </row>
    <row r="844" spans="1:25" ht="15">
      <c r="A844" s="81"/>
      <c r="B844" s="7"/>
      <c r="C844" s="7"/>
      <c r="D844" s="7"/>
      <c r="E844" s="7"/>
      <c r="F844" s="7"/>
      <c r="G844" s="7"/>
      <c r="H844" s="7"/>
      <c r="J844" s="7"/>
      <c r="K844" s="7"/>
      <c r="L844" s="7"/>
      <c r="M844" s="7"/>
      <c r="N844" s="7"/>
      <c r="O844" s="7"/>
      <c r="P844" s="7"/>
      <c r="Q844" s="7"/>
      <c r="R844" s="7"/>
      <c r="S844" s="7"/>
      <c r="T844" s="7"/>
      <c r="U844" s="7"/>
      <c r="V844" s="7"/>
      <c r="W844" s="7"/>
      <c r="X844" s="7"/>
      <c r="Y844" s="7"/>
    </row>
    <row r="845" spans="1:25" ht="15">
      <c r="A845" s="81"/>
      <c r="B845" s="7"/>
      <c r="C845" s="7"/>
      <c r="D845" s="7"/>
      <c r="E845" s="7"/>
      <c r="F845" s="7"/>
      <c r="G845" s="7"/>
      <c r="H845" s="7"/>
      <c r="J845" s="7"/>
      <c r="K845" s="7"/>
      <c r="L845" s="7"/>
      <c r="M845" s="7"/>
      <c r="N845" s="7"/>
      <c r="O845" s="7"/>
      <c r="P845" s="7"/>
      <c r="Q845" s="7"/>
      <c r="R845" s="7"/>
      <c r="S845" s="7"/>
      <c r="T845" s="7"/>
      <c r="U845" s="7"/>
      <c r="V845" s="7"/>
      <c r="W845" s="7"/>
      <c r="X845" s="7"/>
      <c r="Y845" s="7"/>
    </row>
    <row r="846" spans="1:25" ht="15">
      <c r="A846" s="81"/>
      <c r="B846" s="7"/>
      <c r="C846" s="7"/>
      <c r="D846" s="7"/>
      <c r="E846" s="7"/>
      <c r="F846" s="7"/>
      <c r="G846" s="7"/>
      <c r="H846" s="7"/>
      <c r="J846" s="7"/>
      <c r="K846" s="7"/>
      <c r="L846" s="7"/>
      <c r="M846" s="7"/>
      <c r="N846" s="7"/>
      <c r="O846" s="7"/>
      <c r="P846" s="7"/>
      <c r="Q846" s="7"/>
      <c r="R846" s="7"/>
      <c r="S846" s="7"/>
      <c r="T846" s="7"/>
      <c r="U846" s="7"/>
      <c r="V846" s="7"/>
      <c r="W846" s="7"/>
      <c r="X846" s="7"/>
      <c r="Y846" s="7"/>
    </row>
    <row r="847" spans="1:25" ht="15">
      <c r="A847" s="81"/>
      <c r="B847" s="7"/>
      <c r="C847" s="7"/>
      <c r="D847" s="7"/>
      <c r="E847" s="7"/>
      <c r="F847" s="7"/>
      <c r="G847" s="7"/>
      <c r="H847" s="7"/>
      <c r="J847" s="7"/>
      <c r="K847" s="7"/>
      <c r="L847" s="7"/>
      <c r="M847" s="7"/>
      <c r="N847" s="7"/>
      <c r="O847" s="7"/>
      <c r="P847" s="7"/>
      <c r="Q847" s="7"/>
      <c r="R847" s="7"/>
      <c r="S847" s="7"/>
      <c r="T847" s="7"/>
      <c r="U847" s="7"/>
      <c r="V847" s="7"/>
      <c r="W847" s="7"/>
      <c r="X847" s="7"/>
      <c r="Y847" s="7"/>
    </row>
    <row r="848" spans="1:25" ht="15">
      <c r="A848" s="81"/>
      <c r="B848" s="7"/>
      <c r="C848" s="7"/>
      <c r="D848" s="7"/>
      <c r="E848" s="7"/>
      <c r="F848" s="7"/>
      <c r="G848" s="7"/>
      <c r="H848" s="7"/>
      <c r="J848" s="7"/>
      <c r="K848" s="7"/>
      <c r="L848" s="7"/>
      <c r="M848" s="7"/>
      <c r="N848" s="7"/>
      <c r="O848" s="7"/>
      <c r="P848" s="7"/>
      <c r="Q848" s="7"/>
      <c r="R848" s="7"/>
      <c r="S848" s="7"/>
      <c r="T848" s="7"/>
      <c r="U848" s="7"/>
      <c r="V848" s="7"/>
      <c r="W848" s="7"/>
      <c r="X848" s="7"/>
      <c r="Y848" s="7"/>
    </row>
    <row r="849" spans="1:25" ht="15">
      <c r="A849" s="81"/>
      <c r="B849" s="7"/>
      <c r="C849" s="7"/>
      <c r="D849" s="7"/>
      <c r="E849" s="7"/>
      <c r="F849" s="7"/>
      <c r="G849" s="7"/>
      <c r="H849" s="7"/>
      <c r="J849" s="7"/>
      <c r="K849" s="7"/>
      <c r="L849" s="7"/>
      <c r="M849" s="7"/>
      <c r="N849" s="7"/>
      <c r="O849" s="7"/>
      <c r="P849" s="7"/>
      <c r="Q849" s="7"/>
      <c r="R849" s="7"/>
      <c r="S849" s="7"/>
      <c r="T849" s="7"/>
      <c r="U849" s="7"/>
      <c r="V849" s="7"/>
      <c r="W849" s="7"/>
      <c r="X849" s="7"/>
      <c r="Y849" s="7"/>
    </row>
    <row r="850" spans="1:25" ht="15">
      <c r="A850" s="81"/>
      <c r="B850" s="7"/>
      <c r="C850" s="7"/>
      <c r="D850" s="7"/>
      <c r="E850" s="7"/>
      <c r="F850" s="7"/>
      <c r="G850" s="7"/>
      <c r="H850" s="7"/>
      <c r="J850" s="7"/>
      <c r="K850" s="7"/>
      <c r="L850" s="7"/>
      <c r="M850" s="7"/>
      <c r="N850" s="7"/>
      <c r="O850" s="7"/>
      <c r="P850" s="7"/>
      <c r="Q850" s="7"/>
      <c r="R850" s="7"/>
      <c r="S850" s="7"/>
      <c r="T850" s="7"/>
      <c r="U850" s="7"/>
      <c r="V850" s="7"/>
      <c r="W850" s="7"/>
      <c r="X850" s="7"/>
      <c r="Y850" s="7"/>
    </row>
    <row r="851" spans="1:25" ht="15">
      <c r="A851" s="81"/>
      <c r="B851" s="7"/>
      <c r="C851" s="7"/>
      <c r="D851" s="7"/>
      <c r="E851" s="7"/>
      <c r="F851" s="7"/>
      <c r="G851" s="7"/>
      <c r="H851" s="7"/>
      <c r="J851" s="7"/>
      <c r="K851" s="7"/>
      <c r="L851" s="7"/>
      <c r="M851" s="7"/>
      <c r="N851" s="7"/>
      <c r="O851" s="7"/>
      <c r="P851" s="7"/>
      <c r="Q851" s="7"/>
      <c r="R851" s="7"/>
      <c r="S851" s="7"/>
      <c r="T851" s="7"/>
      <c r="U851" s="7"/>
      <c r="V851" s="7"/>
      <c r="W851" s="7"/>
      <c r="X851" s="7"/>
      <c r="Y851" s="7"/>
    </row>
    <row r="852" spans="1:25" ht="15">
      <c r="A852" s="81"/>
      <c r="B852" s="7"/>
      <c r="C852" s="7"/>
      <c r="D852" s="7"/>
      <c r="E852" s="7"/>
      <c r="F852" s="7"/>
      <c r="G852" s="7"/>
      <c r="H852" s="7"/>
      <c r="J852" s="7"/>
      <c r="K852" s="7"/>
      <c r="L852" s="7"/>
      <c r="M852" s="7"/>
      <c r="N852" s="7"/>
      <c r="O852" s="7"/>
      <c r="P852" s="7"/>
      <c r="Q852" s="7"/>
      <c r="R852" s="7"/>
      <c r="S852" s="7"/>
      <c r="T852" s="7"/>
      <c r="U852" s="7"/>
      <c r="V852" s="7"/>
      <c r="W852" s="7"/>
      <c r="X852" s="7"/>
      <c r="Y852" s="7"/>
    </row>
    <row r="853" spans="1:25" ht="15">
      <c r="A853" s="81"/>
      <c r="B853" s="7"/>
      <c r="C853" s="7"/>
      <c r="D853" s="7"/>
      <c r="E853" s="7"/>
      <c r="F853" s="7"/>
      <c r="G853" s="7"/>
      <c r="H853" s="7"/>
      <c r="J853" s="7"/>
      <c r="K853" s="7"/>
      <c r="L853" s="7"/>
      <c r="M853" s="7"/>
      <c r="N853" s="7"/>
      <c r="O853" s="7"/>
      <c r="P853" s="7"/>
      <c r="Q853" s="7"/>
      <c r="R853" s="7"/>
      <c r="S853" s="7"/>
      <c r="T853" s="7"/>
      <c r="U853" s="7"/>
      <c r="V853" s="7"/>
      <c r="W853" s="7"/>
      <c r="X853" s="7"/>
      <c r="Y853" s="7"/>
    </row>
    <row r="854" spans="1:25" ht="15">
      <c r="A854" s="81"/>
      <c r="B854" s="7"/>
      <c r="C854" s="7"/>
      <c r="D854" s="7"/>
      <c r="E854" s="7"/>
      <c r="F854" s="7"/>
      <c r="G854" s="7"/>
      <c r="H854" s="7"/>
      <c r="J854" s="7"/>
      <c r="K854" s="7"/>
      <c r="L854" s="7"/>
      <c r="M854" s="7"/>
      <c r="N854" s="7"/>
      <c r="O854" s="7"/>
      <c r="P854" s="7"/>
      <c r="Q854" s="7"/>
      <c r="R854" s="7"/>
      <c r="S854" s="7"/>
      <c r="T854" s="7"/>
      <c r="U854" s="7"/>
      <c r="V854" s="7"/>
      <c r="W854" s="7"/>
      <c r="X854" s="7"/>
      <c r="Y854" s="7"/>
    </row>
    <row r="855" spans="1:25" ht="15">
      <c r="A855" s="81"/>
      <c r="B855" s="7"/>
      <c r="C855" s="7"/>
      <c r="D855" s="7"/>
      <c r="E855" s="7"/>
      <c r="F855" s="7"/>
      <c r="G855" s="7"/>
      <c r="H855" s="7"/>
      <c r="J855" s="7"/>
      <c r="K855" s="7"/>
      <c r="L855" s="7"/>
      <c r="M855" s="7"/>
      <c r="N855" s="7"/>
      <c r="O855" s="7"/>
      <c r="P855" s="7"/>
      <c r="Q855" s="7"/>
      <c r="R855" s="7"/>
      <c r="S855" s="7"/>
      <c r="T855" s="7"/>
      <c r="U855" s="7"/>
      <c r="V855" s="7"/>
      <c r="W855" s="7"/>
      <c r="X855" s="7"/>
      <c r="Y855" s="7"/>
    </row>
    <row r="856" spans="1:25" ht="15">
      <c r="A856" s="81"/>
      <c r="B856" s="7"/>
      <c r="C856" s="7"/>
      <c r="D856" s="7"/>
      <c r="E856" s="7"/>
      <c r="F856" s="7"/>
      <c r="G856" s="7"/>
      <c r="H856" s="7"/>
      <c r="J856" s="7"/>
      <c r="K856" s="7"/>
      <c r="L856" s="7"/>
      <c r="M856" s="7"/>
      <c r="N856" s="7"/>
      <c r="O856" s="7"/>
      <c r="P856" s="7"/>
      <c r="Q856" s="7"/>
      <c r="R856" s="7"/>
      <c r="S856" s="7"/>
      <c r="T856" s="7"/>
      <c r="U856" s="7"/>
      <c r="V856" s="7"/>
      <c r="W856" s="7"/>
      <c r="X856" s="7"/>
      <c r="Y856" s="7"/>
    </row>
    <row r="857" spans="1:25" ht="15">
      <c r="A857" s="81"/>
      <c r="B857" s="7"/>
      <c r="C857" s="7"/>
      <c r="D857" s="7"/>
      <c r="E857" s="7"/>
      <c r="F857" s="7"/>
      <c r="G857" s="7"/>
      <c r="H857" s="7"/>
      <c r="J857" s="7"/>
      <c r="K857" s="7"/>
      <c r="L857" s="7"/>
      <c r="M857" s="7"/>
      <c r="N857" s="7"/>
      <c r="O857" s="7"/>
      <c r="P857" s="7"/>
      <c r="Q857" s="7"/>
      <c r="R857" s="7"/>
      <c r="S857" s="7"/>
      <c r="T857" s="7"/>
      <c r="U857" s="7"/>
      <c r="V857" s="7"/>
      <c r="W857" s="7"/>
      <c r="X857" s="7"/>
      <c r="Y857" s="7"/>
    </row>
    <row r="858" spans="1:25" ht="15">
      <c r="A858" s="81"/>
      <c r="B858" s="7"/>
      <c r="C858" s="7"/>
      <c r="D858" s="7"/>
      <c r="E858" s="7"/>
      <c r="F858" s="7"/>
      <c r="G858" s="7"/>
      <c r="H858" s="7"/>
      <c r="J858" s="7"/>
      <c r="K858" s="7"/>
      <c r="L858" s="7"/>
      <c r="M858" s="7"/>
      <c r="N858" s="7"/>
      <c r="O858" s="7"/>
      <c r="P858" s="7"/>
      <c r="Q858" s="7"/>
      <c r="R858" s="7"/>
      <c r="S858" s="7"/>
      <c r="T858" s="7"/>
      <c r="U858" s="7"/>
      <c r="V858" s="7"/>
      <c r="W858" s="7"/>
      <c r="X858" s="7"/>
      <c r="Y858" s="7"/>
    </row>
    <row r="859" spans="1:25" ht="15">
      <c r="A859" s="81"/>
      <c r="B859" s="7"/>
      <c r="C859" s="7"/>
      <c r="D859" s="7"/>
      <c r="E859" s="7"/>
      <c r="F859" s="7"/>
      <c r="G859" s="7"/>
      <c r="H859" s="7"/>
      <c r="J859" s="7"/>
      <c r="K859" s="7"/>
      <c r="L859" s="7"/>
      <c r="M859" s="7"/>
      <c r="N859" s="7"/>
      <c r="O859" s="7"/>
      <c r="P859" s="7"/>
      <c r="Q859" s="7"/>
      <c r="R859" s="7"/>
      <c r="S859" s="7"/>
      <c r="T859" s="7"/>
      <c r="U859" s="7"/>
      <c r="V859" s="7"/>
      <c r="W859" s="7"/>
      <c r="X859" s="7"/>
      <c r="Y859" s="7"/>
    </row>
    <row r="860" spans="1:25" ht="15">
      <c r="A860" s="81"/>
      <c r="B860" s="7"/>
      <c r="C860" s="7"/>
      <c r="D860" s="7"/>
      <c r="E860" s="7"/>
      <c r="F860" s="7"/>
      <c r="G860" s="7"/>
      <c r="H860" s="7"/>
      <c r="J860" s="7"/>
      <c r="K860" s="7"/>
      <c r="L860" s="7"/>
      <c r="M860" s="7"/>
      <c r="N860" s="7"/>
      <c r="O860" s="7"/>
      <c r="P860" s="7"/>
      <c r="Q860" s="7"/>
      <c r="R860" s="7"/>
      <c r="S860" s="7"/>
      <c r="T860" s="7"/>
      <c r="U860" s="7"/>
      <c r="V860" s="7"/>
      <c r="W860" s="7"/>
      <c r="X860" s="7"/>
      <c r="Y860" s="7"/>
    </row>
    <row r="861" spans="1:25" ht="15">
      <c r="A861" s="81"/>
      <c r="B861" s="7"/>
      <c r="C861" s="7"/>
      <c r="D861" s="7"/>
      <c r="E861" s="7"/>
      <c r="F861" s="7"/>
      <c r="G861" s="7"/>
      <c r="H861" s="7"/>
      <c r="J861" s="7"/>
      <c r="K861" s="7"/>
      <c r="L861" s="7"/>
      <c r="M861" s="7"/>
      <c r="N861" s="7"/>
      <c r="O861" s="7"/>
      <c r="P861" s="7"/>
      <c r="Q861" s="7"/>
      <c r="R861" s="7"/>
      <c r="S861" s="7"/>
      <c r="T861" s="7"/>
      <c r="U861" s="7"/>
      <c r="V861" s="7"/>
      <c r="W861" s="7"/>
      <c r="X861" s="7"/>
      <c r="Y861" s="7"/>
    </row>
    <row r="862" spans="1:25" ht="15">
      <c r="A862" s="81"/>
      <c r="B862" s="7"/>
      <c r="C862" s="7"/>
      <c r="D862" s="7"/>
      <c r="E862" s="7"/>
      <c r="F862" s="7"/>
      <c r="G862" s="7"/>
      <c r="H862" s="7"/>
      <c r="J862" s="7"/>
      <c r="K862" s="7"/>
      <c r="L862" s="7"/>
      <c r="M862" s="7"/>
      <c r="N862" s="7"/>
      <c r="O862" s="7"/>
      <c r="P862" s="7"/>
      <c r="Q862" s="7"/>
      <c r="R862" s="7"/>
      <c r="S862" s="7"/>
      <c r="T862" s="7"/>
      <c r="U862" s="7"/>
      <c r="V862" s="7"/>
      <c r="W862" s="7"/>
      <c r="X862" s="7"/>
      <c r="Y862" s="7"/>
    </row>
    <row r="863" spans="1:25" ht="15">
      <c r="A863" s="81"/>
      <c r="B863" s="7"/>
      <c r="C863" s="7"/>
      <c r="D863" s="7"/>
      <c r="E863" s="7"/>
      <c r="F863" s="7"/>
      <c r="G863" s="7"/>
      <c r="H863" s="7"/>
      <c r="J863" s="7"/>
      <c r="K863" s="7"/>
      <c r="L863" s="7"/>
      <c r="M863" s="7"/>
      <c r="N863" s="7"/>
      <c r="O863" s="7"/>
      <c r="P863" s="7"/>
      <c r="Q863" s="7"/>
      <c r="R863" s="7"/>
      <c r="S863" s="7"/>
      <c r="T863" s="7"/>
      <c r="U863" s="7"/>
      <c r="V863" s="7"/>
      <c r="W863" s="7"/>
      <c r="X863" s="7"/>
      <c r="Y863" s="7"/>
    </row>
    <row r="864" spans="1:25" ht="15">
      <c r="A864" s="81"/>
      <c r="B864" s="7"/>
      <c r="C864" s="7"/>
      <c r="D864" s="7"/>
      <c r="E864" s="7"/>
      <c r="F864" s="7"/>
      <c r="G864" s="7"/>
      <c r="H864" s="7"/>
      <c r="J864" s="7"/>
      <c r="K864" s="7"/>
      <c r="L864" s="7"/>
      <c r="M864" s="7"/>
      <c r="N864" s="7"/>
      <c r="O864" s="7"/>
      <c r="P864" s="7"/>
      <c r="Q864" s="7"/>
      <c r="R864" s="7"/>
      <c r="S864" s="7"/>
      <c r="T864" s="7"/>
      <c r="U864" s="7"/>
      <c r="V864" s="7"/>
      <c r="W864" s="7"/>
      <c r="X864" s="7"/>
      <c r="Y864" s="7"/>
    </row>
    <row r="865" spans="1:25" ht="15">
      <c r="A865" s="81"/>
      <c r="B865" s="7"/>
      <c r="C865" s="7"/>
      <c r="D865" s="7"/>
      <c r="E865" s="7"/>
      <c r="F865" s="7"/>
      <c r="G865" s="7"/>
      <c r="H865" s="7"/>
      <c r="J865" s="7"/>
      <c r="K865" s="7"/>
      <c r="L865" s="7"/>
      <c r="M865" s="7"/>
      <c r="N865" s="7"/>
      <c r="O865" s="7"/>
      <c r="P865" s="7"/>
      <c r="Q865" s="7"/>
      <c r="R865" s="7"/>
      <c r="S865" s="7"/>
      <c r="T865" s="7"/>
      <c r="U865" s="7"/>
      <c r="V865" s="7"/>
      <c r="W865" s="7"/>
      <c r="X865" s="7"/>
      <c r="Y865" s="7"/>
    </row>
    <row r="866" spans="1:25" ht="15">
      <c r="A866" s="81"/>
      <c r="B866" s="7"/>
      <c r="C866" s="7"/>
      <c r="D866" s="7"/>
      <c r="E866" s="7"/>
      <c r="F866" s="7"/>
      <c r="G866" s="7"/>
      <c r="H866" s="7"/>
      <c r="J866" s="7"/>
      <c r="K866" s="7"/>
      <c r="L866" s="7"/>
      <c r="M866" s="7"/>
      <c r="N866" s="7"/>
      <c r="O866" s="7"/>
      <c r="P866" s="7"/>
      <c r="Q866" s="7"/>
      <c r="R866" s="7"/>
      <c r="S866" s="7"/>
      <c r="T866" s="7"/>
      <c r="U866" s="7"/>
      <c r="V866" s="7"/>
      <c r="W866" s="7"/>
      <c r="X866" s="7"/>
      <c r="Y866" s="7"/>
    </row>
    <row r="867" spans="1:25" ht="15">
      <c r="A867" s="81"/>
      <c r="B867" s="7"/>
      <c r="C867" s="7"/>
      <c r="D867" s="7"/>
      <c r="E867" s="7"/>
      <c r="F867" s="7"/>
      <c r="G867" s="7"/>
      <c r="H867" s="7"/>
      <c r="J867" s="7"/>
      <c r="K867" s="7"/>
      <c r="L867" s="7"/>
      <c r="M867" s="7"/>
      <c r="N867" s="7"/>
      <c r="O867" s="7"/>
      <c r="P867" s="7"/>
      <c r="Q867" s="7"/>
      <c r="R867" s="7"/>
      <c r="S867" s="7"/>
      <c r="T867" s="7"/>
      <c r="U867" s="7"/>
      <c r="V867" s="7"/>
      <c r="W867" s="7"/>
      <c r="X867" s="7"/>
      <c r="Y867" s="7"/>
    </row>
    <row r="868" spans="1:25" ht="15">
      <c r="A868" s="81"/>
      <c r="B868" s="7"/>
      <c r="C868" s="7"/>
      <c r="D868" s="7"/>
      <c r="E868" s="7"/>
      <c r="F868" s="7"/>
      <c r="G868" s="7"/>
      <c r="H868" s="7"/>
      <c r="J868" s="7"/>
      <c r="K868" s="7"/>
      <c r="L868" s="7"/>
      <c r="M868" s="7"/>
      <c r="N868" s="7"/>
      <c r="O868" s="7"/>
      <c r="P868" s="7"/>
      <c r="Q868" s="7"/>
      <c r="R868" s="7"/>
      <c r="S868" s="7"/>
      <c r="T868" s="7"/>
      <c r="U868" s="7"/>
      <c r="V868" s="7"/>
      <c r="W868" s="7"/>
      <c r="X868" s="7"/>
      <c r="Y868" s="7"/>
    </row>
    <row r="869" spans="1:25" ht="15">
      <c r="A869" s="81"/>
      <c r="B869" s="7"/>
      <c r="C869" s="7"/>
      <c r="D869" s="7"/>
      <c r="E869" s="7"/>
      <c r="F869" s="7"/>
      <c r="G869" s="7"/>
      <c r="H869" s="7"/>
      <c r="J869" s="7"/>
      <c r="K869" s="7"/>
      <c r="L869" s="7"/>
      <c r="M869" s="7"/>
      <c r="N869" s="7"/>
      <c r="O869" s="7"/>
      <c r="P869" s="7"/>
      <c r="Q869" s="7"/>
      <c r="R869" s="7"/>
      <c r="S869" s="7"/>
      <c r="T869" s="7"/>
      <c r="U869" s="7"/>
      <c r="V869" s="7"/>
      <c r="W869" s="7"/>
      <c r="X869" s="7"/>
      <c r="Y869" s="7"/>
    </row>
    <row r="870" spans="1:25" ht="15">
      <c r="A870" s="81"/>
      <c r="B870" s="7"/>
      <c r="C870" s="7"/>
      <c r="D870" s="7"/>
      <c r="E870" s="7"/>
      <c r="F870" s="7"/>
      <c r="G870" s="7"/>
      <c r="H870" s="7"/>
      <c r="J870" s="7"/>
      <c r="K870" s="7"/>
      <c r="L870" s="7"/>
      <c r="M870" s="7"/>
      <c r="N870" s="7"/>
      <c r="O870" s="7"/>
      <c r="P870" s="7"/>
      <c r="Q870" s="7"/>
      <c r="R870" s="7"/>
      <c r="S870" s="7"/>
      <c r="T870" s="7"/>
      <c r="U870" s="7"/>
      <c r="V870" s="7"/>
      <c r="W870" s="7"/>
      <c r="X870" s="7"/>
      <c r="Y870" s="7"/>
    </row>
    <row r="871" spans="1:25" ht="15">
      <c r="A871" s="81"/>
      <c r="B871" s="7"/>
      <c r="C871" s="7"/>
      <c r="D871" s="7"/>
      <c r="E871" s="7"/>
      <c r="F871" s="7"/>
      <c r="G871" s="7"/>
      <c r="H871" s="7"/>
      <c r="J871" s="7"/>
      <c r="K871" s="7"/>
      <c r="L871" s="7"/>
      <c r="M871" s="7"/>
      <c r="N871" s="7"/>
      <c r="O871" s="7"/>
      <c r="P871" s="7"/>
      <c r="Q871" s="7"/>
      <c r="R871" s="7"/>
      <c r="S871" s="7"/>
      <c r="T871" s="7"/>
      <c r="U871" s="7"/>
      <c r="V871" s="7"/>
      <c r="W871" s="7"/>
      <c r="X871" s="7"/>
      <c r="Y871" s="7"/>
    </row>
    <row r="872" spans="1:25" ht="15">
      <c r="A872" s="81"/>
      <c r="B872" s="7"/>
      <c r="C872" s="7"/>
      <c r="D872" s="7"/>
      <c r="E872" s="7"/>
      <c r="F872" s="7"/>
      <c r="G872" s="7"/>
      <c r="H872" s="7"/>
      <c r="J872" s="7"/>
      <c r="K872" s="7"/>
      <c r="L872" s="7"/>
      <c r="M872" s="7"/>
      <c r="N872" s="7"/>
      <c r="O872" s="7"/>
      <c r="P872" s="7"/>
      <c r="Q872" s="7"/>
      <c r="R872" s="7"/>
      <c r="S872" s="7"/>
      <c r="T872" s="7"/>
      <c r="U872" s="7"/>
      <c r="V872" s="7"/>
      <c r="W872" s="7"/>
      <c r="X872" s="7"/>
      <c r="Y872" s="7"/>
    </row>
    <row r="873" spans="1:25" ht="15">
      <c r="A873" s="81"/>
      <c r="B873" s="7"/>
      <c r="C873" s="7"/>
      <c r="D873" s="7"/>
      <c r="E873" s="7"/>
      <c r="F873" s="7"/>
      <c r="G873" s="7"/>
      <c r="H873" s="7"/>
      <c r="J873" s="7"/>
      <c r="K873" s="7"/>
      <c r="L873" s="7"/>
      <c r="M873" s="7"/>
      <c r="N873" s="7"/>
      <c r="O873" s="7"/>
      <c r="P873" s="7"/>
      <c r="Q873" s="7"/>
      <c r="R873" s="7"/>
      <c r="S873" s="7"/>
      <c r="T873" s="7"/>
      <c r="U873" s="7"/>
      <c r="V873" s="7"/>
      <c r="W873" s="7"/>
      <c r="X873" s="7"/>
      <c r="Y873" s="7"/>
    </row>
    <row r="874" spans="1:25" ht="15">
      <c r="A874" s="81"/>
      <c r="B874" s="7"/>
      <c r="C874" s="7"/>
      <c r="D874" s="7"/>
      <c r="E874" s="7"/>
      <c r="F874" s="7"/>
      <c r="G874" s="7"/>
      <c r="H874" s="7"/>
      <c r="J874" s="7"/>
      <c r="K874" s="7"/>
      <c r="L874" s="7"/>
      <c r="M874" s="7"/>
      <c r="N874" s="7"/>
      <c r="O874" s="7"/>
      <c r="P874" s="7"/>
      <c r="Q874" s="7"/>
      <c r="R874" s="7"/>
      <c r="S874" s="7"/>
      <c r="T874" s="7"/>
      <c r="U874" s="7"/>
      <c r="V874" s="7"/>
      <c r="W874" s="7"/>
      <c r="X874" s="7"/>
      <c r="Y874" s="7"/>
    </row>
    <row r="875" spans="1:25" ht="15">
      <c r="A875" s="81"/>
      <c r="B875" s="7"/>
      <c r="C875" s="7"/>
      <c r="D875" s="7"/>
      <c r="E875" s="7"/>
      <c r="F875" s="7"/>
      <c r="G875" s="7"/>
      <c r="H875" s="7"/>
      <c r="J875" s="7"/>
      <c r="K875" s="7"/>
      <c r="L875" s="7"/>
      <c r="M875" s="7"/>
      <c r="N875" s="7"/>
      <c r="O875" s="7"/>
      <c r="P875" s="7"/>
      <c r="Q875" s="7"/>
      <c r="R875" s="7"/>
      <c r="S875" s="7"/>
      <c r="T875" s="7"/>
      <c r="U875" s="7"/>
      <c r="V875" s="7"/>
      <c r="W875" s="7"/>
      <c r="X875" s="7"/>
      <c r="Y875" s="7"/>
    </row>
    <row r="876" spans="1:25" ht="15">
      <c r="A876" s="81"/>
      <c r="B876" s="7"/>
      <c r="C876" s="7"/>
      <c r="D876" s="7"/>
      <c r="E876" s="7"/>
      <c r="F876" s="7"/>
      <c r="G876" s="7"/>
      <c r="H876" s="7"/>
      <c r="J876" s="7"/>
      <c r="K876" s="7"/>
      <c r="L876" s="7"/>
      <c r="M876" s="7"/>
      <c r="N876" s="7"/>
      <c r="O876" s="7"/>
      <c r="P876" s="7"/>
      <c r="Q876" s="7"/>
      <c r="R876" s="7"/>
      <c r="S876" s="7"/>
      <c r="T876" s="7"/>
      <c r="U876" s="7"/>
      <c r="V876" s="7"/>
      <c r="W876" s="7"/>
      <c r="X876" s="7"/>
      <c r="Y876" s="7"/>
    </row>
    <row r="877" spans="1:25" ht="15">
      <c r="A877" s="81"/>
      <c r="B877" s="7"/>
      <c r="C877" s="7"/>
      <c r="D877" s="7"/>
      <c r="E877" s="7"/>
      <c r="F877" s="7"/>
      <c r="G877" s="7"/>
      <c r="H877" s="7"/>
      <c r="J877" s="7"/>
      <c r="K877" s="7"/>
      <c r="L877" s="7"/>
      <c r="M877" s="7"/>
      <c r="N877" s="7"/>
      <c r="O877" s="7"/>
      <c r="P877" s="7"/>
      <c r="Q877" s="7"/>
      <c r="R877" s="7"/>
      <c r="S877" s="7"/>
      <c r="T877" s="7"/>
      <c r="U877" s="7"/>
      <c r="V877" s="7"/>
      <c r="W877" s="7"/>
      <c r="X877" s="7"/>
      <c r="Y877" s="7"/>
    </row>
    <row r="878" spans="1:25" ht="15">
      <c r="A878" s="81"/>
      <c r="B878" s="7"/>
      <c r="C878" s="7"/>
      <c r="D878" s="7"/>
      <c r="E878" s="7"/>
      <c r="F878" s="7"/>
      <c r="G878" s="7"/>
      <c r="H878" s="7"/>
      <c r="J878" s="7"/>
      <c r="K878" s="7"/>
      <c r="L878" s="7"/>
      <c r="M878" s="7"/>
      <c r="N878" s="7"/>
      <c r="O878" s="7"/>
      <c r="P878" s="7"/>
      <c r="Q878" s="7"/>
      <c r="R878" s="7"/>
      <c r="S878" s="7"/>
      <c r="T878" s="7"/>
      <c r="U878" s="7"/>
      <c r="V878" s="7"/>
      <c r="W878" s="7"/>
      <c r="X878" s="7"/>
      <c r="Y878" s="7"/>
    </row>
    <row r="879" spans="1:25" ht="15">
      <c r="A879" s="81"/>
      <c r="B879" s="7"/>
      <c r="C879" s="7"/>
      <c r="D879" s="7"/>
      <c r="E879" s="7"/>
      <c r="F879" s="7"/>
      <c r="G879" s="7"/>
      <c r="H879" s="7"/>
      <c r="J879" s="7"/>
      <c r="K879" s="7"/>
      <c r="L879" s="7"/>
      <c r="M879" s="7"/>
      <c r="N879" s="7"/>
      <c r="O879" s="7"/>
      <c r="P879" s="7"/>
      <c r="Q879" s="7"/>
      <c r="R879" s="7"/>
      <c r="S879" s="7"/>
      <c r="T879" s="7"/>
      <c r="U879" s="7"/>
      <c r="V879" s="7"/>
      <c r="W879" s="7"/>
      <c r="X879" s="7"/>
      <c r="Y879" s="7"/>
    </row>
    <row r="880" spans="1:25" ht="15">
      <c r="A880" s="81"/>
      <c r="B880" s="7"/>
      <c r="C880" s="7"/>
      <c r="D880" s="7"/>
      <c r="E880" s="7"/>
      <c r="F880" s="7"/>
      <c r="G880" s="7"/>
      <c r="H880" s="7"/>
      <c r="J880" s="7"/>
      <c r="K880" s="7"/>
      <c r="L880" s="7"/>
      <c r="M880" s="7"/>
      <c r="N880" s="7"/>
      <c r="O880" s="7"/>
      <c r="P880" s="7"/>
      <c r="Q880" s="7"/>
      <c r="R880" s="7"/>
      <c r="S880" s="7"/>
      <c r="T880" s="7"/>
      <c r="U880" s="7"/>
      <c r="V880" s="7"/>
      <c r="W880" s="7"/>
      <c r="X880" s="7"/>
      <c r="Y880" s="7"/>
    </row>
    <row r="881" spans="1:25" ht="15">
      <c r="A881" s="81"/>
      <c r="B881" s="7"/>
      <c r="C881" s="7"/>
      <c r="D881" s="7"/>
      <c r="E881" s="7"/>
      <c r="F881" s="7"/>
      <c r="G881" s="7"/>
      <c r="H881" s="7"/>
      <c r="J881" s="7"/>
      <c r="K881" s="7"/>
      <c r="L881" s="7"/>
      <c r="M881" s="7"/>
      <c r="N881" s="7"/>
      <c r="O881" s="7"/>
      <c r="P881" s="7"/>
      <c r="Q881" s="7"/>
      <c r="R881" s="7"/>
      <c r="S881" s="7"/>
      <c r="T881" s="7"/>
      <c r="U881" s="7"/>
      <c r="V881" s="7"/>
      <c r="W881" s="7"/>
      <c r="X881" s="7"/>
      <c r="Y881" s="7"/>
    </row>
    <row r="882" spans="1:25" ht="15">
      <c r="A882" s="81"/>
      <c r="B882" s="7"/>
      <c r="C882" s="7"/>
      <c r="D882" s="7"/>
      <c r="E882" s="7"/>
      <c r="F882" s="7"/>
      <c r="G882" s="7"/>
      <c r="H882" s="7"/>
      <c r="J882" s="7"/>
      <c r="K882" s="7"/>
      <c r="L882" s="7"/>
      <c r="M882" s="7"/>
      <c r="N882" s="7"/>
      <c r="O882" s="7"/>
      <c r="P882" s="7"/>
      <c r="Q882" s="7"/>
      <c r="R882" s="7"/>
      <c r="S882" s="7"/>
      <c r="T882" s="7"/>
      <c r="U882" s="7"/>
      <c r="V882" s="7"/>
      <c r="W882" s="7"/>
      <c r="X882" s="7"/>
      <c r="Y882" s="7"/>
    </row>
    <row r="883" spans="1:25" ht="15">
      <c r="A883" s="81"/>
      <c r="B883" s="7"/>
      <c r="C883" s="7"/>
      <c r="D883" s="7"/>
      <c r="E883" s="7"/>
      <c r="F883" s="7"/>
      <c r="G883" s="7"/>
      <c r="H883" s="7"/>
      <c r="J883" s="7"/>
      <c r="K883" s="7"/>
      <c r="L883" s="7"/>
      <c r="M883" s="7"/>
      <c r="N883" s="7"/>
      <c r="O883" s="7"/>
      <c r="P883" s="7"/>
      <c r="Q883" s="7"/>
      <c r="R883" s="7"/>
      <c r="S883" s="7"/>
      <c r="T883" s="7"/>
      <c r="U883" s="7"/>
      <c r="V883" s="7"/>
      <c r="W883" s="7"/>
      <c r="X883" s="7"/>
      <c r="Y883" s="7"/>
    </row>
    <row r="884" spans="1:25" ht="15">
      <c r="A884" s="81"/>
      <c r="B884" s="7"/>
      <c r="C884" s="7"/>
      <c r="D884" s="7"/>
      <c r="E884" s="7"/>
      <c r="F884" s="7"/>
      <c r="G884" s="7"/>
      <c r="H884" s="7"/>
      <c r="J884" s="7"/>
      <c r="K884" s="7"/>
      <c r="L884" s="7"/>
      <c r="M884" s="7"/>
      <c r="N884" s="7"/>
      <c r="O884" s="7"/>
      <c r="P884" s="7"/>
      <c r="Q884" s="7"/>
      <c r="R884" s="7"/>
      <c r="S884" s="7"/>
      <c r="T884" s="7"/>
      <c r="U884" s="7"/>
      <c r="V884" s="7"/>
      <c r="W884" s="7"/>
      <c r="X884" s="7"/>
      <c r="Y884" s="7"/>
    </row>
    <row r="885" spans="1:25" ht="15">
      <c r="A885" s="81"/>
      <c r="B885" s="7"/>
      <c r="C885" s="7"/>
      <c r="D885" s="7"/>
      <c r="E885" s="7"/>
      <c r="F885" s="7"/>
      <c r="G885" s="7"/>
      <c r="H885" s="7"/>
      <c r="J885" s="7"/>
      <c r="K885" s="7"/>
      <c r="L885" s="7"/>
      <c r="M885" s="7"/>
      <c r="N885" s="7"/>
      <c r="O885" s="7"/>
      <c r="P885" s="7"/>
      <c r="Q885" s="7"/>
      <c r="R885" s="7"/>
      <c r="S885" s="7"/>
      <c r="T885" s="7"/>
      <c r="U885" s="7"/>
      <c r="V885" s="7"/>
      <c r="W885" s="7"/>
      <c r="X885" s="7"/>
      <c r="Y885" s="7"/>
    </row>
    <row r="886" spans="1:25" ht="15">
      <c r="A886" s="81"/>
      <c r="B886" s="7"/>
      <c r="C886" s="7"/>
      <c r="D886" s="7"/>
      <c r="E886" s="7"/>
      <c r="F886" s="7"/>
      <c r="G886" s="7"/>
      <c r="H886" s="7"/>
      <c r="J886" s="7"/>
      <c r="K886" s="7"/>
      <c r="L886" s="7"/>
      <c r="M886" s="7"/>
      <c r="N886" s="7"/>
      <c r="O886" s="7"/>
      <c r="P886" s="7"/>
      <c r="Q886" s="7"/>
      <c r="R886" s="7"/>
      <c r="S886" s="7"/>
      <c r="T886" s="7"/>
      <c r="U886" s="7"/>
      <c r="V886" s="7"/>
      <c r="W886" s="7"/>
      <c r="X886" s="7"/>
      <c r="Y886" s="7"/>
    </row>
    <row r="887" spans="1:25" ht="15">
      <c r="A887" s="81"/>
      <c r="B887" s="7"/>
      <c r="C887" s="7"/>
      <c r="D887" s="7"/>
      <c r="E887" s="7"/>
      <c r="F887" s="7"/>
      <c r="G887" s="7"/>
      <c r="H887" s="7"/>
      <c r="J887" s="7"/>
      <c r="K887" s="7"/>
      <c r="L887" s="7"/>
      <c r="M887" s="7"/>
      <c r="N887" s="7"/>
      <c r="O887" s="7"/>
      <c r="P887" s="7"/>
      <c r="Q887" s="7"/>
      <c r="R887" s="7"/>
      <c r="S887" s="7"/>
      <c r="T887" s="7"/>
      <c r="U887" s="7"/>
      <c r="V887" s="7"/>
      <c r="W887" s="7"/>
      <c r="X887" s="7"/>
      <c r="Y887" s="7"/>
    </row>
    <row r="888" spans="1:25" ht="15">
      <c r="A888" s="81"/>
      <c r="B888" s="7"/>
      <c r="C888" s="7"/>
      <c r="D888" s="7"/>
      <c r="E888" s="7"/>
      <c r="F888" s="7"/>
      <c r="G888" s="7"/>
      <c r="H888" s="7"/>
      <c r="J888" s="7"/>
      <c r="K888" s="7"/>
      <c r="L888" s="7"/>
      <c r="M888" s="7"/>
      <c r="N888" s="7"/>
      <c r="O888" s="7"/>
      <c r="P888" s="7"/>
      <c r="Q888" s="7"/>
      <c r="R888" s="7"/>
      <c r="S888" s="7"/>
      <c r="T888" s="7"/>
      <c r="U888" s="7"/>
      <c r="V888" s="7"/>
      <c r="W888" s="7"/>
      <c r="X888" s="7"/>
      <c r="Y888" s="7"/>
    </row>
    <row r="889" spans="1:25" ht="15">
      <c r="A889" s="81"/>
      <c r="B889" s="7"/>
      <c r="C889" s="7"/>
      <c r="D889" s="7"/>
      <c r="E889" s="7"/>
      <c r="F889" s="7"/>
      <c r="G889" s="7"/>
      <c r="H889" s="7"/>
      <c r="J889" s="7"/>
      <c r="K889" s="7"/>
      <c r="L889" s="7"/>
      <c r="M889" s="7"/>
      <c r="N889" s="7"/>
      <c r="O889" s="7"/>
      <c r="P889" s="7"/>
      <c r="Q889" s="7"/>
      <c r="R889" s="7"/>
      <c r="S889" s="7"/>
      <c r="T889" s="7"/>
      <c r="U889" s="7"/>
      <c r="V889" s="7"/>
      <c r="W889" s="7"/>
      <c r="X889" s="7"/>
      <c r="Y889" s="7"/>
    </row>
    <row r="890" spans="1:25" ht="15">
      <c r="A890" s="81"/>
      <c r="B890" s="7"/>
      <c r="C890" s="7"/>
      <c r="D890" s="7"/>
      <c r="E890" s="7"/>
      <c r="F890" s="7"/>
      <c r="G890" s="7"/>
      <c r="H890" s="7"/>
      <c r="J890" s="7"/>
      <c r="K890" s="7"/>
      <c r="L890" s="7"/>
      <c r="M890" s="7"/>
      <c r="N890" s="7"/>
      <c r="O890" s="7"/>
      <c r="P890" s="7"/>
      <c r="Q890" s="7"/>
      <c r="R890" s="7"/>
      <c r="S890" s="7"/>
      <c r="T890" s="7"/>
      <c r="U890" s="7"/>
      <c r="V890" s="7"/>
      <c r="W890" s="7"/>
      <c r="X890" s="7"/>
      <c r="Y890" s="7"/>
    </row>
    <row r="891" spans="1:25" ht="15">
      <c r="A891" s="81"/>
      <c r="B891" s="7"/>
      <c r="C891" s="7"/>
      <c r="D891" s="7"/>
      <c r="E891" s="7"/>
      <c r="F891" s="7"/>
      <c r="G891" s="7"/>
      <c r="H891" s="7"/>
      <c r="J891" s="7"/>
      <c r="K891" s="7"/>
      <c r="L891" s="7"/>
      <c r="M891" s="7"/>
      <c r="N891" s="7"/>
      <c r="O891" s="7"/>
      <c r="P891" s="7"/>
      <c r="Q891" s="7"/>
      <c r="R891" s="7"/>
      <c r="S891" s="7"/>
      <c r="T891" s="7"/>
      <c r="U891" s="7"/>
      <c r="V891" s="7"/>
      <c r="W891" s="7"/>
      <c r="X891" s="7"/>
      <c r="Y891" s="7"/>
    </row>
    <row r="892" spans="1:25" ht="15">
      <c r="A892" s="81"/>
      <c r="B892" s="7"/>
      <c r="C892" s="7"/>
      <c r="D892" s="7"/>
      <c r="E892" s="7"/>
      <c r="F892" s="7"/>
      <c r="G892" s="7"/>
      <c r="H892" s="7"/>
      <c r="J892" s="7"/>
      <c r="K892" s="7"/>
      <c r="L892" s="7"/>
      <c r="M892" s="7"/>
      <c r="N892" s="7"/>
      <c r="O892" s="7"/>
      <c r="P892" s="7"/>
      <c r="Q892" s="7"/>
      <c r="R892" s="7"/>
      <c r="S892" s="7"/>
      <c r="T892" s="7"/>
      <c r="U892" s="7"/>
      <c r="V892" s="7"/>
      <c r="W892" s="7"/>
      <c r="X892" s="7"/>
      <c r="Y892" s="7"/>
    </row>
    <row r="893" spans="1:25" ht="15">
      <c r="A893" s="81"/>
      <c r="B893" s="7"/>
      <c r="C893" s="7"/>
      <c r="D893" s="7"/>
      <c r="E893" s="7"/>
      <c r="F893" s="7"/>
      <c r="G893" s="7"/>
      <c r="H893" s="7"/>
      <c r="J893" s="7"/>
      <c r="K893" s="7"/>
      <c r="L893" s="7"/>
      <c r="M893" s="7"/>
      <c r="N893" s="7"/>
      <c r="O893" s="7"/>
      <c r="P893" s="7"/>
      <c r="Q893" s="7"/>
      <c r="R893" s="7"/>
      <c r="S893" s="7"/>
      <c r="T893" s="7"/>
      <c r="U893" s="7"/>
      <c r="V893" s="7"/>
      <c r="W893" s="7"/>
      <c r="X893" s="7"/>
      <c r="Y893" s="7"/>
    </row>
    <row r="894" spans="1:25" ht="15">
      <c r="A894" s="81"/>
      <c r="B894" s="7"/>
      <c r="C894" s="7"/>
      <c r="D894" s="7"/>
      <c r="E894" s="7"/>
      <c r="F894" s="7"/>
      <c r="G894" s="7"/>
      <c r="H894" s="7"/>
      <c r="J894" s="7"/>
      <c r="K894" s="7"/>
      <c r="L894" s="7"/>
      <c r="M894" s="7"/>
      <c r="N894" s="7"/>
      <c r="O894" s="7"/>
      <c r="P894" s="7"/>
      <c r="Q894" s="7"/>
      <c r="R894" s="7"/>
      <c r="S894" s="7"/>
      <c r="T894" s="7"/>
      <c r="U894" s="7"/>
      <c r="V894" s="7"/>
      <c r="W894" s="7"/>
      <c r="X894" s="7"/>
      <c r="Y894" s="7"/>
    </row>
    <row r="895" spans="1:25" ht="15">
      <c r="A895" s="81"/>
      <c r="B895" s="7"/>
      <c r="C895" s="7"/>
      <c r="D895" s="7"/>
      <c r="E895" s="7"/>
      <c r="F895" s="7"/>
      <c r="G895" s="7"/>
      <c r="H895" s="7"/>
      <c r="J895" s="7"/>
      <c r="K895" s="7"/>
      <c r="L895" s="7"/>
      <c r="M895" s="7"/>
      <c r="N895" s="7"/>
      <c r="O895" s="7"/>
      <c r="P895" s="7"/>
      <c r="Q895" s="7"/>
      <c r="R895" s="7"/>
      <c r="S895" s="7"/>
      <c r="T895" s="7"/>
      <c r="U895" s="7"/>
      <c r="V895" s="7"/>
      <c r="W895" s="7"/>
      <c r="X895" s="7"/>
      <c r="Y895" s="7"/>
    </row>
    <row r="896" spans="1:25" ht="15">
      <c r="A896" s="81"/>
      <c r="B896" s="7"/>
      <c r="C896" s="7"/>
      <c r="D896" s="7"/>
      <c r="E896" s="7"/>
      <c r="F896" s="7"/>
      <c r="G896" s="7"/>
      <c r="H896" s="7"/>
      <c r="J896" s="7"/>
      <c r="K896" s="7"/>
      <c r="L896" s="7"/>
      <c r="M896" s="7"/>
      <c r="N896" s="7"/>
      <c r="O896" s="7"/>
      <c r="P896" s="7"/>
      <c r="Q896" s="7"/>
      <c r="R896" s="7"/>
      <c r="S896" s="7"/>
      <c r="T896" s="7"/>
      <c r="U896" s="7"/>
      <c r="V896" s="7"/>
      <c r="W896" s="7"/>
      <c r="X896" s="7"/>
      <c r="Y896" s="7"/>
    </row>
    <row r="897" spans="1:25" ht="15">
      <c r="A897" s="81"/>
      <c r="B897" s="7"/>
      <c r="C897" s="7"/>
      <c r="D897" s="7"/>
      <c r="E897" s="7"/>
      <c r="F897" s="7"/>
      <c r="G897" s="7"/>
      <c r="H897" s="7"/>
      <c r="J897" s="7"/>
      <c r="K897" s="7"/>
      <c r="L897" s="7"/>
      <c r="M897" s="7"/>
      <c r="N897" s="7"/>
      <c r="O897" s="7"/>
      <c r="P897" s="7"/>
      <c r="Q897" s="7"/>
      <c r="R897" s="7"/>
      <c r="S897" s="7"/>
      <c r="T897" s="7"/>
      <c r="U897" s="7"/>
      <c r="V897" s="7"/>
      <c r="W897" s="7"/>
      <c r="X897" s="7"/>
      <c r="Y897" s="7"/>
    </row>
    <row r="898" spans="1:25" ht="15">
      <c r="A898" s="81"/>
      <c r="B898" s="7"/>
      <c r="C898" s="7"/>
      <c r="D898" s="7"/>
      <c r="E898" s="7"/>
      <c r="F898" s="7"/>
      <c r="G898" s="7"/>
      <c r="H898" s="7"/>
      <c r="J898" s="7"/>
      <c r="K898" s="7"/>
      <c r="L898" s="7"/>
      <c r="M898" s="7"/>
      <c r="N898" s="7"/>
      <c r="O898" s="7"/>
      <c r="P898" s="7"/>
      <c r="Q898" s="7"/>
      <c r="R898" s="7"/>
      <c r="S898" s="7"/>
      <c r="T898" s="7"/>
      <c r="U898" s="7"/>
      <c r="V898" s="7"/>
      <c r="W898" s="7"/>
      <c r="X898" s="7"/>
      <c r="Y898" s="7"/>
    </row>
    <row r="899" spans="1:25" ht="15">
      <c r="A899" s="81"/>
      <c r="B899" s="7"/>
      <c r="C899" s="7"/>
      <c r="D899" s="7"/>
      <c r="E899" s="7"/>
      <c r="F899" s="7"/>
      <c r="G899" s="7"/>
      <c r="H899" s="7"/>
      <c r="J899" s="7"/>
      <c r="K899" s="7"/>
      <c r="L899" s="7"/>
      <c r="M899" s="7"/>
      <c r="N899" s="7"/>
      <c r="O899" s="7"/>
      <c r="P899" s="7"/>
      <c r="Q899" s="7"/>
      <c r="R899" s="7"/>
      <c r="S899" s="7"/>
      <c r="T899" s="7"/>
      <c r="U899" s="7"/>
      <c r="V899" s="7"/>
      <c r="W899" s="7"/>
      <c r="X899" s="7"/>
      <c r="Y899" s="7"/>
    </row>
    <row r="900" spans="1:25" ht="15">
      <c r="A900" s="81"/>
      <c r="B900" s="7"/>
      <c r="C900" s="7"/>
      <c r="D900" s="7"/>
      <c r="E900" s="7"/>
      <c r="F900" s="7"/>
      <c r="G900" s="7"/>
      <c r="H900" s="7"/>
      <c r="J900" s="7"/>
      <c r="K900" s="7"/>
      <c r="L900" s="7"/>
      <c r="M900" s="7"/>
      <c r="N900" s="7"/>
      <c r="O900" s="7"/>
      <c r="P900" s="7"/>
      <c r="Q900" s="7"/>
      <c r="R900" s="7"/>
      <c r="S900" s="7"/>
      <c r="T900" s="7"/>
      <c r="U900" s="7"/>
      <c r="V900" s="7"/>
      <c r="W900" s="7"/>
      <c r="X900" s="7"/>
      <c r="Y900" s="7"/>
    </row>
    <row r="901" spans="1:25" ht="15">
      <c r="A901" s="81"/>
      <c r="B901" s="7"/>
      <c r="C901" s="7"/>
      <c r="D901" s="7"/>
      <c r="E901" s="7"/>
      <c r="F901" s="7"/>
      <c r="G901" s="7"/>
      <c r="H901" s="7"/>
      <c r="J901" s="7"/>
      <c r="K901" s="7"/>
      <c r="L901" s="7"/>
      <c r="M901" s="7"/>
      <c r="N901" s="7"/>
      <c r="O901" s="7"/>
      <c r="P901" s="7"/>
      <c r="Q901" s="7"/>
      <c r="R901" s="7"/>
      <c r="S901" s="7"/>
      <c r="T901" s="7"/>
      <c r="U901" s="7"/>
      <c r="V901" s="7"/>
      <c r="W901" s="7"/>
      <c r="X901" s="7"/>
      <c r="Y901" s="7"/>
    </row>
    <row r="902" spans="1:25" ht="15">
      <c r="A902" s="81"/>
      <c r="B902" s="7"/>
      <c r="C902" s="7"/>
      <c r="D902" s="7"/>
      <c r="E902" s="7"/>
      <c r="F902" s="7"/>
      <c r="G902" s="7"/>
      <c r="H902" s="7"/>
      <c r="J902" s="7"/>
      <c r="K902" s="7"/>
      <c r="L902" s="7"/>
      <c r="M902" s="7"/>
      <c r="N902" s="7"/>
      <c r="O902" s="7"/>
      <c r="P902" s="7"/>
      <c r="Q902" s="7"/>
      <c r="R902" s="7"/>
      <c r="S902" s="7"/>
      <c r="T902" s="7"/>
      <c r="U902" s="7"/>
      <c r="V902" s="7"/>
      <c r="W902" s="7"/>
      <c r="X902" s="7"/>
      <c r="Y902" s="7"/>
    </row>
    <row r="903" spans="1:25" ht="15">
      <c r="A903" s="81"/>
      <c r="B903" s="7"/>
      <c r="C903" s="7"/>
      <c r="D903" s="7"/>
      <c r="E903" s="7"/>
      <c r="F903" s="7"/>
      <c r="G903" s="7"/>
      <c r="H903" s="7"/>
      <c r="J903" s="7"/>
      <c r="K903" s="7"/>
      <c r="L903" s="7"/>
      <c r="M903" s="7"/>
      <c r="N903" s="7"/>
      <c r="O903" s="7"/>
      <c r="P903" s="7"/>
      <c r="Q903" s="7"/>
      <c r="R903" s="7"/>
      <c r="S903" s="7"/>
      <c r="T903" s="7"/>
      <c r="U903" s="7"/>
      <c r="V903" s="7"/>
      <c r="W903" s="7"/>
      <c r="X903" s="7"/>
      <c r="Y903" s="7"/>
    </row>
    <row r="904" spans="1:25" ht="15">
      <c r="A904" s="81"/>
      <c r="B904" s="7"/>
      <c r="C904" s="7"/>
      <c r="D904" s="7"/>
      <c r="E904" s="7"/>
      <c r="F904" s="7"/>
      <c r="G904" s="7"/>
      <c r="H904" s="7"/>
      <c r="J904" s="7"/>
      <c r="K904" s="7"/>
      <c r="L904" s="7"/>
      <c r="M904" s="7"/>
      <c r="N904" s="7"/>
      <c r="O904" s="7"/>
      <c r="P904" s="7"/>
      <c r="Q904" s="7"/>
      <c r="R904" s="7"/>
      <c r="S904" s="7"/>
      <c r="T904" s="7"/>
      <c r="U904" s="7"/>
      <c r="V904" s="7"/>
      <c r="W904" s="7"/>
      <c r="X904" s="7"/>
      <c r="Y904" s="7"/>
    </row>
    <row r="905" spans="1:25" ht="15">
      <c r="A905" s="81"/>
      <c r="B905" s="7"/>
      <c r="C905" s="7"/>
      <c r="D905" s="7"/>
      <c r="E905" s="7"/>
      <c r="F905" s="7"/>
      <c r="G905" s="7"/>
      <c r="H905" s="7"/>
      <c r="J905" s="7"/>
      <c r="K905" s="7"/>
      <c r="L905" s="7"/>
      <c r="M905" s="7"/>
      <c r="N905" s="7"/>
      <c r="O905" s="7"/>
      <c r="P905" s="7"/>
      <c r="Q905" s="7"/>
      <c r="R905" s="7"/>
      <c r="S905" s="7"/>
      <c r="T905" s="7"/>
      <c r="U905" s="7"/>
      <c r="V905" s="7"/>
      <c r="W905" s="7"/>
      <c r="X905" s="7"/>
      <c r="Y905" s="7"/>
    </row>
    <row r="906" spans="1:25" ht="15">
      <c r="A906" s="81"/>
      <c r="B906" s="7"/>
      <c r="C906" s="7"/>
      <c r="D906" s="7"/>
      <c r="E906" s="7"/>
      <c r="F906" s="7"/>
      <c r="G906" s="7"/>
      <c r="H906" s="7"/>
      <c r="J906" s="7"/>
      <c r="K906" s="7"/>
      <c r="L906" s="7"/>
      <c r="M906" s="7"/>
      <c r="N906" s="7"/>
      <c r="O906" s="7"/>
      <c r="P906" s="7"/>
      <c r="Q906" s="7"/>
      <c r="R906" s="7"/>
      <c r="S906" s="7"/>
      <c r="T906" s="7"/>
      <c r="U906" s="7"/>
      <c r="V906" s="7"/>
      <c r="W906" s="7"/>
      <c r="X906" s="7"/>
      <c r="Y906" s="7"/>
    </row>
    <row r="907" spans="1:25" ht="15">
      <c r="A907" s="81"/>
      <c r="B907" s="7"/>
      <c r="C907" s="7"/>
      <c r="D907" s="7"/>
      <c r="E907" s="7"/>
      <c r="F907" s="7"/>
      <c r="G907" s="7"/>
      <c r="H907" s="7"/>
      <c r="J907" s="7"/>
      <c r="K907" s="7"/>
      <c r="L907" s="7"/>
      <c r="M907" s="7"/>
      <c r="N907" s="7"/>
      <c r="O907" s="7"/>
      <c r="P907" s="7"/>
      <c r="Q907" s="7"/>
      <c r="R907" s="7"/>
      <c r="S907" s="7"/>
      <c r="T907" s="7"/>
      <c r="U907" s="7"/>
      <c r="V907" s="7"/>
      <c r="W907" s="7"/>
      <c r="X907" s="7"/>
      <c r="Y907" s="7"/>
    </row>
    <row r="908" spans="1:25" ht="15">
      <c r="A908" s="81"/>
      <c r="B908" s="7"/>
      <c r="C908" s="7"/>
      <c r="D908" s="7"/>
      <c r="E908" s="7"/>
      <c r="F908" s="7"/>
      <c r="G908" s="7"/>
      <c r="H908" s="7"/>
      <c r="J908" s="7"/>
      <c r="K908" s="7"/>
      <c r="L908" s="7"/>
      <c r="M908" s="7"/>
      <c r="N908" s="7"/>
      <c r="O908" s="7"/>
      <c r="P908" s="7"/>
      <c r="Q908" s="7"/>
      <c r="R908" s="7"/>
      <c r="S908" s="7"/>
      <c r="T908" s="7"/>
      <c r="U908" s="7"/>
      <c r="V908" s="7"/>
      <c r="W908" s="7"/>
      <c r="X908" s="7"/>
      <c r="Y908" s="7"/>
    </row>
    <row r="909" spans="1:25" ht="15">
      <c r="A909" s="81"/>
      <c r="B909" s="7"/>
      <c r="C909" s="7"/>
      <c r="D909" s="7"/>
      <c r="E909" s="7"/>
      <c r="F909" s="7"/>
      <c r="G909" s="7"/>
      <c r="H909" s="7"/>
      <c r="J909" s="7"/>
      <c r="K909" s="7"/>
      <c r="L909" s="7"/>
      <c r="M909" s="7"/>
      <c r="N909" s="7"/>
      <c r="O909" s="7"/>
      <c r="P909" s="7"/>
      <c r="Q909" s="7"/>
      <c r="R909" s="7"/>
      <c r="S909" s="7"/>
      <c r="T909" s="7"/>
      <c r="U909" s="7"/>
      <c r="V909" s="7"/>
      <c r="W909" s="7"/>
      <c r="X909" s="7"/>
      <c r="Y909" s="7"/>
    </row>
    <row r="910" spans="1:25" ht="15">
      <c r="A910" s="81"/>
      <c r="B910" s="7"/>
      <c r="C910" s="7"/>
      <c r="D910" s="7"/>
      <c r="E910" s="7"/>
      <c r="F910" s="7"/>
      <c r="G910" s="7"/>
      <c r="H910" s="7"/>
      <c r="J910" s="7"/>
      <c r="K910" s="7"/>
      <c r="L910" s="7"/>
      <c r="M910" s="7"/>
      <c r="N910" s="7"/>
      <c r="O910" s="7"/>
      <c r="P910" s="7"/>
      <c r="Q910" s="7"/>
      <c r="R910" s="7"/>
      <c r="S910" s="7"/>
      <c r="T910" s="7"/>
      <c r="U910" s="7"/>
      <c r="V910" s="7"/>
      <c r="W910" s="7"/>
      <c r="X910" s="7"/>
      <c r="Y910" s="7"/>
    </row>
    <row r="911" spans="1:25" ht="15">
      <c r="A911" s="81"/>
      <c r="B911" s="7"/>
      <c r="C911" s="7"/>
      <c r="D911" s="7"/>
      <c r="E911" s="7"/>
      <c r="F911" s="7"/>
      <c r="G911" s="7"/>
      <c r="H911" s="7"/>
      <c r="J911" s="7"/>
      <c r="K911" s="7"/>
      <c r="L911" s="7"/>
      <c r="M911" s="7"/>
      <c r="N911" s="7"/>
      <c r="O911" s="7"/>
      <c r="P911" s="7"/>
      <c r="Q911" s="7"/>
      <c r="R911" s="7"/>
      <c r="S911" s="7"/>
      <c r="T911" s="7"/>
      <c r="U911" s="7"/>
      <c r="V911" s="7"/>
      <c r="W911" s="7"/>
      <c r="X911" s="7"/>
      <c r="Y911" s="7"/>
    </row>
    <row r="912" spans="1:25" ht="15">
      <c r="A912" s="81"/>
      <c r="B912" s="7"/>
      <c r="C912" s="7"/>
      <c r="D912" s="7"/>
      <c r="E912" s="7"/>
      <c r="F912" s="7"/>
      <c r="G912" s="7"/>
      <c r="H912" s="7"/>
      <c r="J912" s="7"/>
      <c r="K912" s="7"/>
      <c r="L912" s="7"/>
      <c r="M912" s="7"/>
      <c r="N912" s="7"/>
      <c r="O912" s="7"/>
      <c r="P912" s="7"/>
      <c r="Q912" s="7"/>
      <c r="R912" s="7"/>
      <c r="S912" s="7"/>
      <c r="T912" s="7"/>
      <c r="U912" s="7"/>
      <c r="V912" s="7"/>
      <c r="W912" s="7"/>
      <c r="X912" s="7"/>
      <c r="Y912" s="7"/>
    </row>
    <row r="913" spans="1:25" ht="15">
      <c r="A913" s="81"/>
      <c r="B913" s="7"/>
      <c r="C913" s="7"/>
      <c r="D913" s="7"/>
      <c r="E913" s="7"/>
      <c r="F913" s="7"/>
      <c r="G913" s="7"/>
      <c r="H913" s="7"/>
      <c r="J913" s="7"/>
      <c r="K913" s="7"/>
      <c r="L913" s="7"/>
      <c r="M913" s="7"/>
      <c r="N913" s="7"/>
      <c r="O913" s="7"/>
      <c r="P913" s="7"/>
      <c r="Q913" s="7"/>
      <c r="R913" s="7"/>
      <c r="S913" s="7"/>
      <c r="T913" s="7"/>
      <c r="U913" s="7"/>
      <c r="V913" s="7"/>
      <c r="W913" s="7"/>
      <c r="X913" s="7"/>
      <c r="Y913" s="7"/>
    </row>
    <row r="914" spans="1:25" ht="15">
      <c r="A914" s="81"/>
      <c r="B914" s="7"/>
      <c r="C914" s="7"/>
      <c r="D914" s="7"/>
      <c r="E914" s="7"/>
      <c r="F914" s="7"/>
      <c r="G914" s="7"/>
      <c r="H914" s="7"/>
      <c r="J914" s="7"/>
      <c r="K914" s="7"/>
      <c r="L914" s="7"/>
      <c r="M914" s="7"/>
      <c r="N914" s="7"/>
      <c r="O914" s="7"/>
      <c r="P914" s="7"/>
      <c r="Q914" s="7"/>
      <c r="R914" s="7"/>
      <c r="S914" s="7"/>
      <c r="T914" s="7"/>
      <c r="U914" s="7"/>
      <c r="V914" s="7"/>
      <c r="W914" s="7"/>
      <c r="X914" s="7"/>
      <c r="Y914" s="7"/>
    </row>
    <row r="915" spans="1:25" ht="15">
      <c r="A915" s="81"/>
      <c r="B915" s="7"/>
      <c r="C915" s="7"/>
      <c r="D915" s="7"/>
      <c r="E915" s="7"/>
      <c r="F915" s="7"/>
      <c r="G915" s="7"/>
      <c r="H915" s="7"/>
      <c r="J915" s="7"/>
      <c r="K915" s="7"/>
      <c r="L915" s="7"/>
      <c r="M915" s="7"/>
      <c r="N915" s="7"/>
      <c r="O915" s="7"/>
      <c r="P915" s="7"/>
      <c r="Q915" s="7"/>
      <c r="R915" s="7"/>
      <c r="S915" s="7"/>
      <c r="T915" s="7"/>
      <c r="U915" s="7"/>
      <c r="V915" s="7"/>
      <c r="W915" s="7"/>
      <c r="X915" s="7"/>
      <c r="Y915" s="7"/>
    </row>
    <row r="916" spans="1:25" ht="15">
      <c r="A916" s="81"/>
      <c r="B916" s="7"/>
      <c r="C916" s="7"/>
      <c r="D916" s="7"/>
      <c r="E916" s="7"/>
      <c r="F916" s="7"/>
      <c r="G916" s="7"/>
      <c r="H916" s="7"/>
      <c r="J916" s="7"/>
      <c r="K916" s="7"/>
      <c r="L916" s="7"/>
      <c r="M916" s="7"/>
      <c r="N916" s="7"/>
      <c r="O916" s="7"/>
      <c r="P916" s="7"/>
      <c r="Q916" s="7"/>
      <c r="R916" s="7"/>
      <c r="S916" s="7"/>
      <c r="T916" s="7"/>
      <c r="U916" s="7"/>
      <c r="V916" s="7"/>
      <c r="W916" s="7"/>
      <c r="X916" s="7"/>
      <c r="Y916" s="7"/>
    </row>
    <row r="917" spans="1:25" ht="15">
      <c r="A917" s="81"/>
      <c r="B917" s="7"/>
      <c r="C917" s="7"/>
      <c r="D917" s="7"/>
      <c r="E917" s="7"/>
      <c r="F917" s="7"/>
      <c r="G917" s="7"/>
      <c r="H917" s="7"/>
      <c r="J917" s="7"/>
      <c r="K917" s="7"/>
      <c r="L917" s="7"/>
      <c r="M917" s="7"/>
      <c r="N917" s="7"/>
      <c r="O917" s="7"/>
      <c r="P917" s="7"/>
      <c r="Q917" s="7"/>
      <c r="R917" s="7"/>
      <c r="S917" s="7"/>
      <c r="T917" s="7"/>
      <c r="U917" s="7"/>
      <c r="V917" s="7"/>
      <c r="W917" s="7"/>
      <c r="X917" s="7"/>
      <c r="Y917" s="7"/>
    </row>
    <row r="918" spans="1:25" ht="15">
      <c r="A918" s="81"/>
      <c r="B918" s="7"/>
      <c r="C918" s="7"/>
      <c r="D918" s="7"/>
      <c r="E918" s="7"/>
      <c r="F918" s="7"/>
      <c r="G918" s="7"/>
      <c r="H918" s="7"/>
      <c r="J918" s="7"/>
      <c r="K918" s="7"/>
      <c r="L918" s="7"/>
      <c r="M918" s="7"/>
      <c r="N918" s="7"/>
      <c r="O918" s="7"/>
      <c r="P918" s="7"/>
      <c r="Q918" s="7"/>
      <c r="R918" s="7"/>
      <c r="S918" s="7"/>
      <c r="T918" s="7"/>
      <c r="U918" s="7"/>
      <c r="V918" s="7"/>
      <c r="W918" s="7"/>
      <c r="X918" s="7"/>
      <c r="Y918" s="7"/>
    </row>
    <row r="919" spans="1:25" ht="15">
      <c r="A919" s="81"/>
      <c r="B919" s="7"/>
      <c r="C919" s="7"/>
      <c r="D919" s="7"/>
      <c r="E919" s="7"/>
      <c r="F919" s="7"/>
      <c r="G919" s="7"/>
      <c r="H919" s="7"/>
      <c r="J919" s="7"/>
      <c r="K919" s="7"/>
      <c r="L919" s="7"/>
      <c r="M919" s="7"/>
      <c r="N919" s="7"/>
      <c r="O919" s="7"/>
      <c r="P919" s="7"/>
      <c r="Q919" s="7"/>
      <c r="R919" s="7"/>
      <c r="S919" s="7"/>
      <c r="T919" s="7"/>
      <c r="U919" s="7"/>
      <c r="V919" s="7"/>
      <c r="W919" s="7"/>
      <c r="X919" s="7"/>
      <c r="Y919" s="7"/>
    </row>
    <row r="920" spans="1:25" ht="15">
      <c r="A920" s="81"/>
      <c r="B920" s="7"/>
      <c r="C920" s="7"/>
      <c r="D920" s="7"/>
      <c r="E920" s="7"/>
      <c r="F920" s="7"/>
      <c r="G920" s="7"/>
      <c r="H920" s="7"/>
      <c r="J920" s="7"/>
      <c r="K920" s="7"/>
      <c r="L920" s="7"/>
      <c r="M920" s="7"/>
      <c r="N920" s="7"/>
      <c r="O920" s="7"/>
      <c r="P920" s="7"/>
      <c r="Q920" s="7"/>
      <c r="R920" s="7"/>
      <c r="S920" s="7"/>
      <c r="T920" s="7"/>
      <c r="U920" s="7"/>
      <c r="V920" s="7"/>
      <c r="W920" s="7"/>
      <c r="X920" s="7"/>
      <c r="Y920" s="7"/>
    </row>
    <row r="921" spans="1:25" ht="15">
      <c r="A921" s="81"/>
      <c r="B921" s="7"/>
      <c r="C921" s="7"/>
      <c r="D921" s="7"/>
      <c r="E921" s="7"/>
      <c r="F921" s="7"/>
      <c r="G921" s="7"/>
      <c r="H921" s="7"/>
      <c r="J921" s="7"/>
      <c r="K921" s="7"/>
      <c r="L921" s="7"/>
      <c r="M921" s="7"/>
      <c r="N921" s="7"/>
      <c r="O921" s="7"/>
      <c r="P921" s="7"/>
      <c r="Q921" s="7"/>
      <c r="R921" s="7"/>
      <c r="S921" s="7"/>
      <c r="T921" s="7"/>
      <c r="U921" s="7"/>
      <c r="V921" s="7"/>
      <c r="W921" s="7"/>
      <c r="X921" s="7"/>
      <c r="Y921" s="7"/>
    </row>
    <row r="922" spans="1:25" ht="15">
      <c r="A922" s="81"/>
      <c r="B922" s="7"/>
      <c r="C922" s="7"/>
      <c r="D922" s="7"/>
      <c r="E922" s="7"/>
      <c r="F922" s="7"/>
      <c r="G922" s="7"/>
      <c r="H922" s="7"/>
      <c r="J922" s="7"/>
      <c r="K922" s="7"/>
      <c r="L922" s="7"/>
      <c r="M922" s="7"/>
      <c r="N922" s="7"/>
      <c r="O922" s="7"/>
      <c r="P922" s="7"/>
      <c r="Q922" s="7"/>
      <c r="R922" s="7"/>
      <c r="S922" s="7"/>
      <c r="T922" s="7"/>
      <c r="U922" s="7"/>
      <c r="V922" s="7"/>
      <c r="W922" s="7"/>
      <c r="X922" s="7"/>
      <c r="Y922" s="7"/>
    </row>
    <row r="923" spans="1:25" ht="15">
      <c r="A923" s="81"/>
      <c r="B923" s="7"/>
      <c r="C923" s="7"/>
      <c r="D923" s="7"/>
      <c r="E923" s="7"/>
      <c r="F923" s="7"/>
      <c r="G923" s="7"/>
      <c r="H923" s="7"/>
      <c r="J923" s="7"/>
      <c r="K923" s="7"/>
      <c r="L923" s="7"/>
      <c r="M923" s="7"/>
      <c r="N923" s="7"/>
      <c r="O923" s="7"/>
      <c r="P923" s="7"/>
      <c r="Q923" s="7"/>
      <c r="R923" s="7"/>
      <c r="S923" s="7"/>
      <c r="T923" s="7"/>
      <c r="U923" s="7"/>
      <c r="V923" s="7"/>
      <c r="W923" s="7"/>
      <c r="X923" s="7"/>
      <c r="Y923" s="7"/>
    </row>
    <row r="924" spans="1:25" ht="15">
      <c r="A924" s="81"/>
      <c r="B924" s="7"/>
      <c r="C924" s="7"/>
      <c r="D924" s="7"/>
      <c r="E924" s="7"/>
      <c r="F924" s="7"/>
      <c r="G924" s="7"/>
      <c r="H924" s="7"/>
      <c r="J924" s="7"/>
      <c r="K924" s="7"/>
      <c r="L924" s="7"/>
      <c r="M924" s="7"/>
      <c r="N924" s="7"/>
      <c r="O924" s="7"/>
      <c r="P924" s="7"/>
      <c r="Q924" s="7"/>
      <c r="R924" s="7"/>
      <c r="S924" s="7"/>
      <c r="T924" s="7"/>
      <c r="U924" s="7"/>
      <c r="V924" s="7"/>
      <c r="W924" s="7"/>
      <c r="X924" s="7"/>
      <c r="Y924" s="7"/>
    </row>
    <row r="925" spans="1:25" ht="15">
      <c r="A925" s="81"/>
      <c r="B925" s="7"/>
      <c r="C925" s="7"/>
      <c r="D925" s="7"/>
      <c r="E925" s="7"/>
      <c r="F925" s="7"/>
      <c r="G925" s="7"/>
      <c r="H925" s="7"/>
      <c r="J925" s="7"/>
      <c r="K925" s="7"/>
      <c r="L925" s="7"/>
      <c r="M925" s="7"/>
      <c r="N925" s="7"/>
      <c r="O925" s="7"/>
      <c r="P925" s="7"/>
      <c r="Q925" s="7"/>
      <c r="R925" s="7"/>
      <c r="S925" s="7"/>
      <c r="T925" s="7"/>
      <c r="U925" s="7"/>
      <c r="V925" s="7"/>
      <c r="W925" s="7"/>
      <c r="X925" s="7"/>
      <c r="Y925" s="7"/>
    </row>
    <row r="926" spans="1:25" ht="15">
      <c r="A926" s="81"/>
      <c r="B926" s="7"/>
      <c r="C926" s="7"/>
      <c r="D926" s="7"/>
      <c r="E926" s="7"/>
      <c r="F926" s="7"/>
      <c r="G926" s="7"/>
      <c r="H926" s="7"/>
      <c r="J926" s="7"/>
      <c r="K926" s="7"/>
      <c r="L926" s="7"/>
      <c r="M926" s="7"/>
      <c r="N926" s="7"/>
      <c r="O926" s="7"/>
      <c r="P926" s="7"/>
      <c r="Q926" s="7"/>
      <c r="R926" s="7"/>
      <c r="S926" s="7"/>
      <c r="T926" s="7"/>
      <c r="U926" s="7"/>
      <c r="V926" s="7"/>
      <c r="W926" s="7"/>
      <c r="X926" s="7"/>
      <c r="Y926" s="7"/>
    </row>
    <row r="927" spans="1:25" ht="15">
      <c r="A927" s="81"/>
      <c r="B927" s="7"/>
      <c r="C927" s="7"/>
      <c r="D927" s="7"/>
      <c r="E927" s="7"/>
      <c r="F927" s="7"/>
      <c r="G927" s="7"/>
      <c r="H927" s="7"/>
      <c r="J927" s="7"/>
      <c r="K927" s="7"/>
      <c r="L927" s="7"/>
      <c r="M927" s="7"/>
      <c r="N927" s="7"/>
      <c r="O927" s="7"/>
      <c r="P927" s="7"/>
      <c r="Q927" s="7"/>
      <c r="R927" s="7"/>
      <c r="S927" s="7"/>
      <c r="T927" s="7"/>
      <c r="U927" s="7"/>
      <c r="V927" s="7"/>
      <c r="W927" s="7"/>
      <c r="X927" s="7"/>
      <c r="Y927" s="7"/>
    </row>
    <row r="928" spans="1:25" ht="15">
      <c r="A928" s="81"/>
      <c r="B928" s="7"/>
      <c r="C928" s="7"/>
      <c r="D928" s="7"/>
      <c r="E928" s="7"/>
      <c r="F928" s="7"/>
      <c r="G928" s="7"/>
      <c r="H928" s="7"/>
      <c r="J928" s="7"/>
      <c r="K928" s="7"/>
      <c r="L928" s="7"/>
      <c r="M928" s="7"/>
      <c r="N928" s="7"/>
      <c r="O928" s="7"/>
      <c r="P928" s="7"/>
      <c r="Q928" s="7"/>
      <c r="R928" s="7"/>
      <c r="S928" s="7"/>
      <c r="T928" s="7"/>
      <c r="U928" s="7"/>
      <c r="V928" s="7"/>
      <c r="W928" s="7"/>
      <c r="X928" s="7"/>
      <c r="Y928" s="7"/>
    </row>
    <row r="929" spans="1:25" ht="15">
      <c r="A929" s="81"/>
      <c r="B929" s="7"/>
      <c r="C929" s="7"/>
      <c r="D929" s="7"/>
      <c r="E929" s="7"/>
      <c r="F929" s="7"/>
      <c r="G929" s="7"/>
      <c r="H929" s="7"/>
      <c r="J929" s="7"/>
      <c r="K929" s="7"/>
      <c r="L929" s="7"/>
      <c r="M929" s="7"/>
      <c r="N929" s="7"/>
      <c r="O929" s="7"/>
      <c r="P929" s="7"/>
      <c r="Q929" s="7"/>
      <c r="R929" s="7"/>
      <c r="S929" s="7"/>
      <c r="T929" s="7"/>
      <c r="U929" s="7"/>
      <c r="V929" s="7"/>
      <c r="W929" s="7"/>
      <c r="X929" s="7"/>
      <c r="Y929" s="7"/>
    </row>
    <row r="930" spans="1:25" ht="15">
      <c r="A930" s="81"/>
      <c r="B930" s="7"/>
      <c r="C930" s="7"/>
      <c r="D930" s="7"/>
      <c r="E930" s="7"/>
      <c r="F930" s="7"/>
      <c r="G930" s="7"/>
      <c r="H930" s="7"/>
      <c r="J930" s="7"/>
      <c r="K930" s="7"/>
      <c r="L930" s="7"/>
      <c r="M930" s="7"/>
      <c r="N930" s="7"/>
      <c r="O930" s="7"/>
      <c r="P930" s="7"/>
      <c r="Q930" s="7"/>
      <c r="R930" s="7"/>
      <c r="S930" s="7"/>
      <c r="T930" s="7"/>
      <c r="U930" s="7"/>
      <c r="V930" s="7"/>
      <c r="W930" s="7"/>
      <c r="X930" s="7"/>
      <c r="Y930" s="7"/>
    </row>
    <row r="931" spans="1:25" ht="15">
      <c r="A931" s="81"/>
      <c r="B931" s="7"/>
      <c r="C931" s="7"/>
      <c r="D931" s="7"/>
      <c r="E931" s="7"/>
      <c r="F931" s="7"/>
      <c r="G931" s="7"/>
      <c r="H931" s="7"/>
      <c r="J931" s="7"/>
      <c r="K931" s="7"/>
      <c r="L931" s="7"/>
      <c r="M931" s="7"/>
      <c r="N931" s="7"/>
      <c r="O931" s="7"/>
      <c r="P931" s="7"/>
      <c r="Q931" s="7"/>
      <c r="R931" s="7"/>
      <c r="S931" s="7"/>
      <c r="T931" s="7"/>
      <c r="U931" s="7"/>
      <c r="V931" s="7"/>
      <c r="W931" s="7"/>
      <c r="X931" s="7"/>
      <c r="Y931" s="7"/>
    </row>
    <row r="932" spans="1:25" ht="15">
      <c r="A932" s="81"/>
      <c r="B932" s="7"/>
      <c r="C932" s="7"/>
      <c r="D932" s="7"/>
      <c r="E932" s="7"/>
      <c r="F932" s="7"/>
      <c r="G932" s="7"/>
      <c r="H932" s="7"/>
      <c r="J932" s="7"/>
      <c r="K932" s="7"/>
      <c r="L932" s="7"/>
      <c r="M932" s="7"/>
      <c r="N932" s="7"/>
      <c r="O932" s="7"/>
      <c r="P932" s="7"/>
      <c r="Q932" s="7"/>
      <c r="R932" s="7"/>
      <c r="S932" s="7"/>
      <c r="T932" s="7"/>
      <c r="U932" s="7"/>
      <c r="V932" s="7"/>
      <c r="W932" s="7"/>
      <c r="X932" s="7"/>
      <c r="Y932" s="7"/>
    </row>
    <row r="933" spans="1:25" ht="15">
      <c r="A933" s="81"/>
      <c r="B933" s="7"/>
      <c r="C933" s="7"/>
      <c r="D933" s="7"/>
      <c r="E933" s="7"/>
      <c r="F933" s="7"/>
      <c r="G933" s="7"/>
      <c r="H933" s="7"/>
      <c r="J933" s="7"/>
      <c r="K933" s="7"/>
      <c r="L933" s="7"/>
      <c r="M933" s="7"/>
      <c r="N933" s="7"/>
      <c r="O933" s="7"/>
      <c r="P933" s="7"/>
      <c r="Q933" s="7"/>
      <c r="R933" s="7"/>
      <c r="S933" s="7"/>
      <c r="T933" s="7"/>
      <c r="U933" s="7"/>
      <c r="V933" s="7"/>
      <c r="W933" s="7"/>
      <c r="X933" s="7"/>
      <c r="Y933" s="7"/>
    </row>
    <row r="934" spans="1:25" ht="15">
      <c r="A934" s="81"/>
      <c r="B934" s="7"/>
      <c r="C934" s="7"/>
      <c r="D934" s="7"/>
      <c r="E934" s="7"/>
      <c r="F934" s="7"/>
      <c r="G934" s="7"/>
      <c r="H934" s="7"/>
      <c r="J934" s="7"/>
      <c r="K934" s="7"/>
      <c r="L934" s="7"/>
      <c r="M934" s="7"/>
      <c r="N934" s="7"/>
      <c r="O934" s="7"/>
      <c r="P934" s="7"/>
      <c r="Q934" s="7"/>
      <c r="R934" s="7"/>
      <c r="S934" s="7"/>
      <c r="T934" s="7"/>
      <c r="U934" s="7"/>
      <c r="V934" s="7"/>
      <c r="W934" s="7"/>
      <c r="X934" s="7"/>
      <c r="Y934" s="7"/>
    </row>
    <row r="935" spans="1:25" ht="15">
      <c r="A935" s="81"/>
      <c r="B935" s="7"/>
      <c r="C935" s="7"/>
      <c r="D935" s="7"/>
      <c r="E935" s="7"/>
      <c r="F935" s="7"/>
      <c r="G935" s="7"/>
      <c r="H935" s="7"/>
      <c r="J935" s="7"/>
      <c r="K935" s="7"/>
      <c r="L935" s="7"/>
      <c r="M935" s="7"/>
      <c r="N935" s="7"/>
      <c r="O935" s="7"/>
      <c r="P935" s="7"/>
      <c r="Q935" s="7"/>
      <c r="R935" s="7"/>
      <c r="S935" s="7"/>
      <c r="T935" s="7"/>
      <c r="U935" s="7"/>
      <c r="V935" s="7"/>
      <c r="W935" s="7"/>
      <c r="X935" s="7"/>
      <c r="Y935" s="7"/>
    </row>
    <row r="936" spans="1:25" ht="15">
      <c r="A936" s="81"/>
      <c r="B936" s="7"/>
      <c r="C936" s="7"/>
      <c r="D936" s="7"/>
      <c r="E936" s="7"/>
      <c r="F936" s="7"/>
      <c r="G936" s="7"/>
      <c r="H936" s="7"/>
      <c r="J936" s="7"/>
      <c r="K936" s="7"/>
      <c r="L936" s="7"/>
      <c r="M936" s="7"/>
      <c r="N936" s="7"/>
      <c r="O936" s="7"/>
      <c r="P936" s="7"/>
      <c r="Q936" s="7"/>
      <c r="R936" s="7"/>
      <c r="S936" s="7"/>
      <c r="T936" s="7"/>
      <c r="U936" s="7"/>
      <c r="V936" s="7"/>
      <c r="W936" s="7"/>
      <c r="X936" s="7"/>
      <c r="Y936" s="7"/>
    </row>
    <row r="937" spans="1:25" ht="15">
      <c r="A937" s="81"/>
      <c r="B937" s="7"/>
      <c r="C937" s="7"/>
      <c r="D937" s="7"/>
      <c r="E937" s="7"/>
      <c r="F937" s="7"/>
      <c r="G937" s="7"/>
      <c r="H937" s="7"/>
      <c r="J937" s="7"/>
      <c r="K937" s="7"/>
      <c r="L937" s="7"/>
      <c r="M937" s="7"/>
      <c r="N937" s="7"/>
      <c r="O937" s="7"/>
      <c r="P937" s="7"/>
      <c r="Q937" s="7"/>
      <c r="R937" s="7"/>
      <c r="S937" s="7"/>
      <c r="T937" s="7"/>
      <c r="U937" s="7"/>
      <c r="V937" s="7"/>
      <c r="W937" s="7"/>
      <c r="X937" s="7"/>
      <c r="Y937" s="7"/>
    </row>
    <row r="938" spans="1:25" ht="15">
      <c r="A938" s="81"/>
      <c r="B938" s="7"/>
      <c r="C938" s="7"/>
      <c r="D938" s="7"/>
      <c r="E938" s="7"/>
      <c r="F938" s="7"/>
      <c r="G938" s="7"/>
      <c r="H938" s="7"/>
      <c r="J938" s="7"/>
      <c r="K938" s="7"/>
      <c r="L938" s="7"/>
      <c r="M938" s="7"/>
      <c r="N938" s="7"/>
      <c r="O938" s="7"/>
      <c r="P938" s="7"/>
      <c r="Q938" s="7"/>
      <c r="R938" s="7"/>
      <c r="S938" s="7"/>
      <c r="T938" s="7"/>
      <c r="U938" s="7"/>
      <c r="V938" s="7"/>
      <c r="W938" s="7"/>
      <c r="X938" s="7"/>
      <c r="Y938" s="7"/>
    </row>
    <row r="939" spans="1:25" ht="15">
      <c r="A939" s="81"/>
      <c r="B939" s="7"/>
      <c r="C939" s="7"/>
      <c r="D939" s="7"/>
      <c r="E939" s="7"/>
      <c r="F939" s="7"/>
      <c r="G939" s="7"/>
      <c r="H939" s="7"/>
      <c r="J939" s="7"/>
      <c r="K939" s="7"/>
      <c r="L939" s="7"/>
      <c r="M939" s="7"/>
      <c r="N939" s="7"/>
      <c r="O939" s="7"/>
      <c r="P939" s="7"/>
      <c r="Q939" s="7"/>
      <c r="R939" s="7"/>
      <c r="S939" s="7"/>
      <c r="T939" s="7"/>
      <c r="U939" s="7"/>
      <c r="V939" s="7"/>
      <c r="W939" s="7"/>
      <c r="X939" s="7"/>
      <c r="Y939" s="7"/>
    </row>
    <row r="940" spans="1:25" ht="15">
      <c r="A940" s="81"/>
      <c r="B940" s="7"/>
      <c r="C940" s="7"/>
      <c r="D940" s="7"/>
      <c r="E940" s="7"/>
      <c r="F940" s="7"/>
      <c r="G940" s="7"/>
      <c r="H940" s="7"/>
      <c r="J940" s="7"/>
      <c r="K940" s="7"/>
      <c r="L940" s="7"/>
      <c r="M940" s="7"/>
      <c r="N940" s="7"/>
      <c r="O940" s="7"/>
      <c r="P940" s="7"/>
      <c r="Q940" s="7"/>
      <c r="R940" s="7"/>
      <c r="S940" s="7"/>
      <c r="T940" s="7"/>
      <c r="U940" s="7"/>
      <c r="V940" s="7"/>
      <c r="W940" s="7"/>
      <c r="X940" s="7"/>
      <c r="Y940" s="7"/>
    </row>
    <row r="941" spans="1:25" ht="15">
      <c r="A941" s="81"/>
      <c r="B941" s="7"/>
      <c r="C941" s="7"/>
      <c r="D941" s="7"/>
      <c r="E941" s="7"/>
      <c r="F941" s="7"/>
      <c r="G941" s="7"/>
      <c r="H941" s="7"/>
      <c r="J941" s="7"/>
      <c r="K941" s="7"/>
      <c r="L941" s="7"/>
      <c r="M941" s="7"/>
      <c r="N941" s="7"/>
      <c r="O941" s="7"/>
      <c r="P941" s="7"/>
      <c r="Q941" s="7"/>
      <c r="R941" s="7"/>
      <c r="S941" s="7"/>
      <c r="T941" s="7"/>
      <c r="U941" s="7"/>
      <c r="V941" s="7"/>
      <c r="W941" s="7"/>
      <c r="X941" s="7"/>
      <c r="Y941" s="7"/>
    </row>
    <row r="942" spans="1:25" ht="15">
      <c r="A942" s="81"/>
      <c r="B942" s="7"/>
      <c r="C942" s="7"/>
      <c r="D942" s="7"/>
      <c r="E942" s="7"/>
      <c r="F942" s="7"/>
      <c r="G942" s="7"/>
      <c r="H942" s="7"/>
      <c r="J942" s="7"/>
      <c r="K942" s="7"/>
      <c r="L942" s="7"/>
      <c r="M942" s="7"/>
      <c r="N942" s="7"/>
      <c r="O942" s="7"/>
      <c r="P942" s="7"/>
      <c r="Q942" s="7"/>
      <c r="R942" s="7"/>
      <c r="S942" s="7"/>
      <c r="T942" s="7"/>
      <c r="U942" s="7"/>
      <c r="V942" s="7"/>
      <c r="W942" s="7"/>
      <c r="X942" s="7"/>
      <c r="Y942" s="7"/>
    </row>
    <row r="943" spans="1:25" ht="15">
      <c r="A943" s="81"/>
      <c r="B943" s="7"/>
      <c r="C943" s="7"/>
      <c r="D943" s="7"/>
      <c r="E943" s="7"/>
      <c r="F943" s="7"/>
      <c r="G943" s="7"/>
      <c r="H943" s="7"/>
      <c r="J943" s="7"/>
      <c r="K943" s="7"/>
      <c r="L943" s="7"/>
      <c r="M943" s="7"/>
      <c r="N943" s="7"/>
      <c r="O943" s="7"/>
      <c r="P943" s="7"/>
      <c r="Q943" s="7"/>
      <c r="R943" s="7"/>
      <c r="S943" s="7"/>
      <c r="T943" s="7"/>
      <c r="U943" s="7"/>
      <c r="V943" s="7"/>
      <c r="W943" s="7"/>
      <c r="X943" s="7"/>
      <c r="Y943" s="7"/>
    </row>
    <row r="944" spans="1:25" ht="15">
      <c r="A944" s="81"/>
      <c r="B944" s="7"/>
      <c r="C944" s="7"/>
      <c r="D944" s="7"/>
      <c r="E944" s="7"/>
      <c r="F944" s="7"/>
      <c r="G944" s="7"/>
      <c r="H944" s="7"/>
      <c r="J944" s="7"/>
      <c r="K944" s="7"/>
      <c r="L944" s="7"/>
      <c r="M944" s="7"/>
      <c r="N944" s="7"/>
      <c r="O944" s="7"/>
      <c r="P944" s="7"/>
      <c r="Q944" s="7"/>
      <c r="R944" s="7"/>
      <c r="S944" s="7"/>
      <c r="T944" s="7"/>
      <c r="U944" s="7"/>
      <c r="V944" s="7"/>
      <c r="W944" s="7"/>
      <c r="X944" s="7"/>
      <c r="Y944" s="7"/>
    </row>
    <row r="945" spans="1:25" ht="15">
      <c r="A945" s="81"/>
      <c r="B945" s="7"/>
      <c r="C945" s="7"/>
      <c r="D945" s="7"/>
      <c r="E945" s="7"/>
      <c r="F945" s="7"/>
      <c r="G945" s="7"/>
      <c r="H945" s="7"/>
      <c r="J945" s="7"/>
      <c r="K945" s="7"/>
      <c r="L945" s="7"/>
      <c r="M945" s="7"/>
      <c r="N945" s="7"/>
      <c r="O945" s="7"/>
      <c r="P945" s="7"/>
      <c r="Q945" s="7"/>
      <c r="R945" s="7"/>
      <c r="S945" s="7"/>
      <c r="T945" s="7"/>
      <c r="U945" s="7"/>
      <c r="V945" s="7"/>
      <c r="W945" s="7"/>
      <c r="X945" s="7"/>
      <c r="Y945" s="7"/>
    </row>
    <row r="946" spans="1:25" ht="15">
      <c r="A946" s="81"/>
      <c r="B946" s="7"/>
      <c r="C946" s="7"/>
      <c r="D946" s="7"/>
      <c r="E946" s="7"/>
      <c r="F946" s="7"/>
      <c r="G946" s="7"/>
      <c r="H946" s="7"/>
      <c r="J946" s="7"/>
      <c r="K946" s="7"/>
      <c r="L946" s="7"/>
      <c r="M946" s="7"/>
      <c r="N946" s="7"/>
      <c r="O946" s="7"/>
      <c r="P946" s="7"/>
      <c r="Q946" s="7"/>
      <c r="R946" s="7"/>
      <c r="S946" s="7"/>
      <c r="T946" s="7"/>
      <c r="U946" s="7"/>
      <c r="V946" s="7"/>
      <c r="W946" s="7"/>
      <c r="X946" s="7"/>
      <c r="Y946" s="7"/>
    </row>
    <row r="947" spans="1:25" ht="15">
      <c r="A947" s="81"/>
      <c r="B947" s="7"/>
      <c r="C947" s="7"/>
      <c r="D947" s="7"/>
      <c r="E947" s="7"/>
      <c r="F947" s="7"/>
      <c r="G947" s="7"/>
      <c r="H947" s="7"/>
      <c r="J947" s="7"/>
      <c r="K947" s="7"/>
      <c r="L947" s="7"/>
      <c r="M947" s="7"/>
      <c r="N947" s="7"/>
      <c r="O947" s="7"/>
      <c r="P947" s="7"/>
      <c r="Q947" s="7"/>
      <c r="R947" s="7"/>
      <c r="S947" s="7"/>
      <c r="T947" s="7"/>
      <c r="U947" s="7"/>
      <c r="V947" s="7"/>
      <c r="W947" s="7"/>
      <c r="X947" s="7"/>
      <c r="Y947" s="7"/>
    </row>
    <row r="948" spans="1:25" ht="15">
      <c r="A948" s="81"/>
      <c r="B948" s="7"/>
      <c r="C948" s="7"/>
      <c r="D948" s="7"/>
      <c r="E948" s="7"/>
      <c r="F948" s="7"/>
      <c r="G948" s="7"/>
      <c r="H948" s="7"/>
      <c r="J948" s="7"/>
      <c r="K948" s="7"/>
      <c r="L948" s="7"/>
      <c r="M948" s="7"/>
      <c r="N948" s="7"/>
      <c r="O948" s="7"/>
      <c r="P948" s="7"/>
      <c r="Q948" s="7"/>
      <c r="R948" s="7"/>
      <c r="S948" s="7"/>
      <c r="T948" s="7"/>
      <c r="U948" s="7"/>
      <c r="V948" s="7"/>
      <c r="W948" s="7"/>
      <c r="X948" s="7"/>
      <c r="Y948" s="7"/>
    </row>
    <row r="949" spans="1:25" ht="15">
      <c r="A949" s="81"/>
      <c r="B949" s="7"/>
      <c r="C949" s="7"/>
      <c r="D949" s="7"/>
      <c r="E949" s="7"/>
      <c r="F949" s="7"/>
      <c r="G949" s="7"/>
      <c r="H949" s="7"/>
      <c r="J949" s="7"/>
      <c r="K949" s="7"/>
      <c r="L949" s="7"/>
      <c r="M949" s="7"/>
      <c r="N949" s="7"/>
      <c r="O949" s="7"/>
      <c r="P949" s="7"/>
      <c r="Q949" s="7"/>
      <c r="R949" s="7"/>
      <c r="S949" s="7"/>
      <c r="T949" s="7"/>
      <c r="U949" s="7"/>
      <c r="V949" s="7"/>
      <c r="W949" s="7"/>
      <c r="X949" s="7"/>
      <c r="Y949" s="7"/>
    </row>
    <row r="950" spans="1:25" ht="15">
      <c r="A950" s="81"/>
      <c r="B950" s="7"/>
      <c r="C950" s="7"/>
      <c r="D950" s="7"/>
      <c r="E950" s="7"/>
      <c r="F950" s="7"/>
      <c r="G950" s="7"/>
      <c r="H950" s="7"/>
      <c r="J950" s="7"/>
      <c r="K950" s="7"/>
      <c r="L950" s="7"/>
      <c r="M950" s="7"/>
      <c r="N950" s="7"/>
      <c r="O950" s="7"/>
      <c r="P950" s="7"/>
      <c r="Q950" s="7"/>
      <c r="R950" s="7"/>
      <c r="S950" s="7"/>
      <c r="T950" s="7"/>
      <c r="U950" s="7"/>
      <c r="V950" s="7"/>
      <c r="W950" s="7"/>
      <c r="X950" s="7"/>
      <c r="Y950" s="7"/>
    </row>
    <row r="951" spans="1:25" ht="15">
      <c r="A951" s="81"/>
      <c r="B951" s="7"/>
      <c r="C951" s="7"/>
      <c r="D951" s="7"/>
      <c r="E951" s="7"/>
      <c r="F951" s="7"/>
      <c r="G951" s="7"/>
      <c r="H951" s="7"/>
      <c r="J951" s="7"/>
      <c r="K951" s="7"/>
      <c r="L951" s="7"/>
      <c r="M951" s="7"/>
      <c r="N951" s="7"/>
      <c r="O951" s="7"/>
      <c r="P951" s="7"/>
      <c r="Q951" s="7"/>
      <c r="R951" s="7"/>
      <c r="S951" s="7"/>
      <c r="T951" s="7"/>
      <c r="U951" s="7"/>
      <c r="V951" s="7"/>
      <c r="W951" s="7"/>
      <c r="X951" s="7"/>
      <c r="Y951" s="7"/>
    </row>
    <row r="952" spans="1:25" ht="15">
      <c r="A952" s="81"/>
      <c r="B952" s="7"/>
      <c r="C952" s="7"/>
      <c r="D952" s="7"/>
      <c r="E952" s="7"/>
      <c r="F952" s="7"/>
      <c r="G952" s="7"/>
      <c r="H952" s="7"/>
      <c r="J952" s="7"/>
      <c r="K952" s="7"/>
      <c r="L952" s="7"/>
      <c r="M952" s="7"/>
      <c r="N952" s="7"/>
      <c r="O952" s="7"/>
      <c r="P952" s="7"/>
      <c r="Q952" s="7"/>
      <c r="R952" s="7"/>
      <c r="S952" s="7"/>
      <c r="T952" s="7"/>
      <c r="U952" s="7"/>
      <c r="V952" s="7"/>
      <c r="W952" s="7"/>
      <c r="X952" s="7"/>
      <c r="Y952" s="7"/>
    </row>
    <row r="953" spans="1:25" ht="15">
      <c r="A953" s="81"/>
      <c r="B953" s="7"/>
      <c r="C953" s="7"/>
      <c r="D953" s="7"/>
      <c r="E953" s="7"/>
      <c r="F953" s="7"/>
      <c r="G953" s="7"/>
      <c r="H953" s="7"/>
      <c r="J953" s="7"/>
      <c r="K953" s="7"/>
      <c r="L953" s="7"/>
      <c r="M953" s="7"/>
      <c r="N953" s="7"/>
      <c r="O953" s="7"/>
      <c r="P953" s="7"/>
      <c r="Q953" s="7"/>
      <c r="R953" s="7"/>
      <c r="S953" s="7"/>
      <c r="T953" s="7"/>
      <c r="U953" s="7"/>
      <c r="V953" s="7"/>
      <c r="W953" s="7"/>
      <c r="X953" s="7"/>
      <c r="Y953" s="7"/>
    </row>
    <row r="954" spans="1:25" ht="15">
      <c r="A954" s="81"/>
      <c r="B954" s="7"/>
      <c r="C954" s="7"/>
      <c r="D954" s="7"/>
      <c r="E954" s="7"/>
      <c r="F954" s="7"/>
      <c r="G954" s="7"/>
      <c r="H954" s="7"/>
      <c r="J954" s="7"/>
      <c r="K954" s="7"/>
      <c r="L954" s="7"/>
      <c r="M954" s="7"/>
      <c r="N954" s="7"/>
      <c r="O954" s="7"/>
      <c r="P954" s="7"/>
      <c r="Q954" s="7"/>
      <c r="R954" s="7"/>
      <c r="S954" s="7"/>
      <c r="T954" s="7"/>
      <c r="U954" s="7"/>
      <c r="V954" s="7"/>
      <c r="W954" s="7"/>
      <c r="X954" s="7"/>
      <c r="Y954" s="7"/>
    </row>
    <row r="955" spans="1:25" ht="15">
      <c r="A955" s="81"/>
      <c r="B955" s="7"/>
      <c r="C955" s="7"/>
      <c r="D955" s="7"/>
      <c r="E955" s="7"/>
      <c r="F955" s="7"/>
      <c r="G955" s="7"/>
      <c r="H955" s="7"/>
      <c r="J955" s="7"/>
      <c r="K955" s="7"/>
      <c r="L955" s="7"/>
      <c r="M955" s="7"/>
      <c r="N955" s="7"/>
      <c r="O955" s="7"/>
      <c r="P955" s="7"/>
      <c r="Q955" s="7"/>
      <c r="R955" s="7"/>
      <c r="S955" s="7"/>
      <c r="T955" s="7"/>
      <c r="U955" s="7"/>
      <c r="V955" s="7"/>
      <c r="W955" s="7"/>
      <c r="X955" s="7"/>
      <c r="Y955" s="7"/>
    </row>
    <row r="956" spans="1:25" ht="15">
      <c r="A956" s="81"/>
      <c r="B956" s="7"/>
      <c r="C956" s="7"/>
      <c r="D956" s="7"/>
      <c r="E956" s="7"/>
      <c r="F956" s="7"/>
      <c r="G956" s="7"/>
      <c r="H956" s="7"/>
      <c r="J956" s="7"/>
      <c r="K956" s="7"/>
      <c r="L956" s="7"/>
      <c r="M956" s="7"/>
      <c r="N956" s="7"/>
      <c r="O956" s="7"/>
      <c r="P956" s="7"/>
      <c r="Q956" s="7"/>
      <c r="R956" s="7"/>
      <c r="S956" s="7"/>
      <c r="T956" s="7"/>
      <c r="U956" s="7"/>
      <c r="V956" s="7"/>
      <c r="W956" s="7"/>
      <c r="X956" s="7"/>
      <c r="Y956" s="7"/>
    </row>
    <row r="957" spans="1:25" ht="15">
      <c r="A957" s="81"/>
      <c r="B957" s="7"/>
      <c r="C957" s="7"/>
      <c r="D957" s="7"/>
      <c r="E957" s="7"/>
      <c r="F957" s="7"/>
      <c r="G957" s="7"/>
      <c r="H957" s="7"/>
      <c r="J957" s="7"/>
      <c r="K957" s="7"/>
      <c r="L957" s="7"/>
      <c r="M957" s="7"/>
      <c r="N957" s="7"/>
      <c r="O957" s="7"/>
      <c r="P957" s="7"/>
      <c r="Q957" s="7"/>
      <c r="R957" s="7"/>
      <c r="S957" s="7"/>
      <c r="T957" s="7"/>
      <c r="U957" s="7"/>
      <c r="V957" s="7"/>
      <c r="W957" s="7"/>
      <c r="X957" s="7"/>
      <c r="Y957" s="7"/>
    </row>
    <row r="958" spans="1:25" ht="15">
      <c r="A958" s="81"/>
      <c r="B958" s="7"/>
      <c r="C958" s="7"/>
      <c r="D958" s="7"/>
      <c r="E958" s="7"/>
      <c r="F958" s="7"/>
      <c r="G958" s="7"/>
      <c r="H958" s="7"/>
      <c r="J958" s="7"/>
      <c r="K958" s="7"/>
      <c r="L958" s="7"/>
      <c r="M958" s="7"/>
      <c r="N958" s="7"/>
      <c r="O958" s="7"/>
      <c r="P958" s="7"/>
      <c r="Q958" s="7"/>
      <c r="R958" s="7"/>
      <c r="S958" s="7"/>
      <c r="T958" s="7"/>
      <c r="U958" s="7"/>
      <c r="V958" s="7"/>
      <c r="W958" s="7"/>
      <c r="X958" s="7"/>
      <c r="Y958" s="7"/>
    </row>
    <row r="959" spans="1:25" ht="15">
      <c r="A959" s="81"/>
      <c r="B959" s="7"/>
      <c r="C959" s="7"/>
      <c r="D959" s="7"/>
      <c r="E959" s="7"/>
      <c r="F959" s="7"/>
      <c r="G959" s="7"/>
      <c r="H959" s="7"/>
      <c r="J959" s="7"/>
      <c r="K959" s="7"/>
      <c r="L959" s="7"/>
      <c r="M959" s="7"/>
      <c r="N959" s="7"/>
      <c r="O959" s="7"/>
      <c r="P959" s="7"/>
      <c r="Q959" s="7"/>
      <c r="R959" s="7"/>
      <c r="S959" s="7"/>
      <c r="T959" s="7"/>
      <c r="U959" s="7"/>
      <c r="V959" s="7"/>
      <c r="W959" s="7"/>
      <c r="X959" s="7"/>
      <c r="Y959" s="7"/>
    </row>
    <row r="960" spans="1:25" ht="15">
      <c r="A960" s="81"/>
      <c r="B960" s="7"/>
      <c r="C960" s="7"/>
      <c r="D960" s="7"/>
      <c r="E960" s="7"/>
      <c r="F960" s="7"/>
      <c r="G960" s="7"/>
      <c r="H960" s="7"/>
      <c r="J960" s="7"/>
      <c r="K960" s="7"/>
      <c r="L960" s="7"/>
      <c r="M960" s="7"/>
      <c r="N960" s="7"/>
      <c r="O960" s="7"/>
      <c r="P960" s="7"/>
      <c r="Q960" s="7"/>
      <c r="R960" s="7"/>
      <c r="S960" s="7"/>
      <c r="T960" s="7"/>
      <c r="U960" s="7"/>
      <c r="V960" s="7"/>
      <c r="W960" s="7"/>
      <c r="X960" s="7"/>
      <c r="Y960" s="7"/>
    </row>
    <row r="961" spans="1:25" ht="15">
      <c r="A961" s="81"/>
      <c r="B961" s="7"/>
      <c r="C961" s="7"/>
      <c r="D961" s="7"/>
      <c r="E961" s="7"/>
      <c r="F961" s="7"/>
      <c r="G961" s="7"/>
      <c r="H961" s="7"/>
      <c r="J961" s="7"/>
      <c r="K961" s="7"/>
      <c r="L961" s="7"/>
      <c r="M961" s="7"/>
      <c r="N961" s="7"/>
      <c r="O961" s="7"/>
      <c r="P961" s="7"/>
      <c r="Q961" s="7"/>
      <c r="R961" s="7"/>
      <c r="S961" s="7"/>
      <c r="T961" s="7"/>
      <c r="U961" s="7"/>
      <c r="V961" s="7"/>
      <c r="W961" s="7"/>
      <c r="X961" s="7"/>
      <c r="Y961" s="7"/>
    </row>
    <row r="962" spans="1:25" ht="15">
      <c r="A962" s="81"/>
      <c r="B962" s="7"/>
      <c r="C962" s="7"/>
      <c r="D962" s="7"/>
      <c r="E962" s="7"/>
      <c r="F962" s="7"/>
      <c r="G962" s="7"/>
      <c r="H962" s="7"/>
      <c r="J962" s="7"/>
      <c r="K962" s="7"/>
      <c r="L962" s="7"/>
      <c r="M962" s="7"/>
      <c r="N962" s="7"/>
      <c r="O962" s="7"/>
      <c r="P962" s="7"/>
      <c r="Q962" s="7"/>
      <c r="R962" s="7"/>
      <c r="S962" s="7"/>
      <c r="T962" s="7"/>
      <c r="U962" s="7"/>
      <c r="V962" s="7"/>
      <c r="W962" s="7"/>
      <c r="X962" s="7"/>
      <c r="Y962" s="7"/>
    </row>
    <row r="963" spans="1:25" ht="15">
      <c r="A963" s="81"/>
      <c r="B963" s="7"/>
      <c r="C963" s="7"/>
      <c r="D963" s="7"/>
      <c r="E963" s="7"/>
      <c r="F963" s="7"/>
      <c r="G963" s="7"/>
      <c r="H963" s="7"/>
      <c r="J963" s="7"/>
      <c r="K963" s="7"/>
      <c r="L963" s="7"/>
      <c r="M963" s="7"/>
      <c r="N963" s="7"/>
      <c r="O963" s="7"/>
      <c r="P963" s="7"/>
      <c r="Q963" s="7"/>
      <c r="R963" s="7"/>
      <c r="S963" s="7"/>
      <c r="T963" s="7"/>
      <c r="U963" s="7"/>
      <c r="V963" s="7"/>
      <c r="W963" s="7"/>
      <c r="X963" s="7"/>
      <c r="Y963" s="7"/>
    </row>
    <row r="964" spans="1:25" ht="15">
      <c r="A964" s="81"/>
      <c r="B964" s="7"/>
      <c r="C964" s="7"/>
      <c r="D964" s="7"/>
      <c r="E964" s="7"/>
      <c r="F964" s="7"/>
      <c r="G964" s="7"/>
      <c r="H964" s="7"/>
      <c r="J964" s="7"/>
      <c r="K964" s="7"/>
      <c r="L964" s="7"/>
      <c r="M964" s="7"/>
      <c r="N964" s="7"/>
      <c r="O964" s="7"/>
      <c r="P964" s="7"/>
      <c r="Q964" s="7"/>
      <c r="R964" s="7"/>
      <c r="S964" s="7"/>
      <c r="T964" s="7"/>
      <c r="U964" s="7"/>
      <c r="V964" s="7"/>
      <c r="W964" s="7"/>
      <c r="X964" s="7"/>
      <c r="Y964" s="7"/>
    </row>
    <row r="965" spans="1:25" ht="15">
      <c r="A965" s="81"/>
      <c r="B965" s="7"/>
      <c r="C965" s="7"/>
      <c r="D965" s="7"/>
      <c r="E965" s="7"/>
      <c r="F965" s="7"/>
      <c r="G965" s="7"/>
      <c r="H965" s="7"/>
      <c r="J965" s="7"/>
      <c r="K965" s="7"/>
      <c r="L965" s="7"/>
      <c r="M965" s="7"/>
      <c r="N965" s="7"/>
      <c r="O965" s="7"/>
      <c r="P965" s="7"/>
      <c r="Q965" s="7"/>
      <c r="R965" s="7"/>
      <c r="S965" s="7"/>
      <c r="T965" s="7"/>
      <c r="U965" s="7"/>
      <c r="V965" s="7"/>
      <c r="W965" s="7"/>
      <c r="X965" s="7"/>
      <c r="Y965" s="7"/>
    </row>
    <row r="966" spans="1:25" ht="15">
      <c r="A966" s="81"/>
      <c r="B966" s="7"/>
      <c r="C966" s="7"/>
      <c r="D966" s="7"/>
      <c r="E966" s="7"/>
      <c r="F966" s="7"/>
      <c r="G966" s="7"/>
      <c r="H966" s="7"/>
      <c r="J966" s="7"/>
      <c r="K966" s="7"/>
      <c r="L966" s="7"/>
      <c r="M966" s="7"/>
      <c r="N966" s="7"/>
      <c r="O966" s="7"/>
      <c r="P966" s="7"/>
      <c r="Q966" s="7"/>
      <c r="R966" s="7"/>
      <c r="S966" s="7"/>
      <c r="T966" s="7"/>
      <c r="U966" s="7"/>
      <c r="V966" s="7"/>
      <c r="W966" s="7"/>
      <c r="X966" s="7"/>
      <c r="Y966" s="7"/>
    </row>
    <row r="967" spans="1:25" ht="15">
      <c r="A967" s="81"/>
      <c r="B967" s="7"/>
      <c r="C967" s="7"/>
      <c r="D967" s="7"/>
      <c r="E967" s="7"/>
      <c r="F967" s="7"/>
      <c r="G967" s="7"/>
      <c r="H967" s="7"/>
      <c r="J967" s="7"/>
      <c r="K967" s="7"/>
      <c r="L967" s="7"/>
      <c r="M967" s="7"/>
      <c r="N967" s="7"/>
      <c r="O967" s="7"/>
      <c r="P967" s="7"/>
      <c r="Q967" s="7"/>
      <c r="R967" s="7"/>
      <c r="S967" s="7"/>
      <c r="T967" s="7"/>
      <c r="U967" s="7"/>
      <c r="V967" s="7"/>
      <c r="W967" s="7"/>
      <c r="X967" s="7"/>
      <c r="Y967" s="7"/>
    </row>
    <row r="968" spans="1:25" ht="15">
      <c r="A968" s="81"/>
      <c r="B968" s="7"/>
      <c r="C968" s="7"/>
      <c r="D968" s="7"/>
      <c r="E968" s="7"/>
      <c r="F968" s="7"/>
      <c r="G968" s="7"/>
      <c r="H968" s="7"/>
      <c r="J968" s="7"/>
      <c r="K968" s="7"/>
      <c r="L968" s="7"/>
      <c r="M968" s="7"/>
      <c r="N968" s="7"/>
      <c r="O968" s="7"/>
      <c r="P968" s="7"/>
      <c r="Q968" s="7"/>
      <c r="R968" s="7"/>
      <c r="S968" s="7"/>
      <c r="T968" s="7"/>
      <c r="U968" s="7"/>
      <c r="V968" s="7"/>
      <c r="W968" s="7"/>
      <c r="X968" s="7"/>
      <c r="Y968" s="7"/>
    </row>
    <row r="969" spans="1:25" ht="15">
      <c r="A969" s="81"/>
      <c r="B969" s="7"/>
      <c r="C969" s="7"/>
      <c r="D969" s="7"/>
      <c r="E969" s="7"/>
      <c r="F969" s="7"/>
      <c r="G969" s="7"/>
      <c r="H969" s="7"/>
      <c r="J969" s="7"/>
      <c r="K969" s="7"/>
      <c r="L969" s="7"/>
      <c r="M969" s="7"/>
      <c r="N969" s="7"/>
      <c r="O969" s="7"/>
      <c r="P969" s="7"/>
      <c r="Q969" s="7"/>
      <c r="R969" s="7"/>
      <c r="S969" s="7"/>
      <c r="T969" s="7"/>
      <c r="U969" s="7"/>
      <c r="V969" s="7"/>
      <c r="W969" s="7"/>
      <c r="X969" s="7"/>
      <c r="Y969" s="7"/>
    </row>
    <row r="970" spans="1:25" ht="15">
      <c r="A970" s="81"/>
      <c r="B970" s="7"/>
      <c r="C970" s="7"/>
      <c r="D970" s="7"/>
      <c r="E970" s="7"/>
      <c r="F970" s="7"/>
      <c r="G970" s="7"/>
      <c r="H970" s="7"/>
      <c r="J970" s="7"/>
      <c r="K970" s="7"/>
      <c r="L970" s="7"/>
      <c r="M970" s="7"/>
      <c r="N970" s="7"/>
      <c r="O970" s="7"/>
      <c r="P970" s="7"/>
      <c r="Q970" s="7"/>
      <c r="R970" s="7"/>
      <c r="S970" s="7"/>
      <c r="T970" s="7"/>
      <c r="U970" s="7"/>
      <c r="V970" s="7"/>
      <c r="W970" s="7"/>
      <c r="X970" s="7"/>
      <c r="Y970" s="7"/>
    </row>
    <row r="971" spans="1:25" ht="15">
      <c r="A971" s="81"/>
      <c r="B971" s="7"/>
      <c r="C971" s="7"/>
      <c r="D971" s="7"/>
      <c r="E971" s="7"/>
      <c r="F971" s="7"/>
      <c r="G971" s="7"/>
      <c r="H971" s="7"/>
      <c r="J971" s="7"/>
      <c r="K971" s="7"/>
      <c r="L971" s="7"/>
      <c r="M971" s="7"/>
      <c r="N971" s="7"/>
      <c r="O971" s="7"/>
      <c r="P971" s="7"/>
      <c r="Q971" s="7"/>
      <c r="R971" s="7"/>
      <c r="S971" s="7"/>
      <c r="T971" s="7"/>
      <c r="U971" s="7"/>
      <c r="V971" s="7"/>
      <c r="W971" s="7"/>
      <c r="X971" s="7"/>
      <c r="Y971" s="7"/>
    </row>
    <row r="972" spans="1:25" ht="15">
      <c r="A972" s="81"/>
      <c r="B972" s="7"/>
      <c r="C972" s="7"/>
      <c r="D972" s="7"/>
      <c r="E972" s="7"/>
      <c r="F972" s="7"/>
      <c r="G972" s="7"/>
      <c r="H972" s="7"/>
      <c r="J972" s="7"/>
      <c r="K972" s="7"/>
      <c r="L972" s="7"/>
      <c r="M972" s="7"/>
      <c r="N972" s="7"/>
      <c r="O972" s="7"/>
      <c r="P972" s="7"/>
      <c r="Q972" s="7"/>
      <c r="R972" s="7"/>
      <c r="S972" s="7"/>
      <c r="T972" s="7"/>
      <c r="U972" s="7"/>
      <c r="V972" s="7"/>
      <c r="W972" s="7"/>
      <c r="X972" s="7"/>
      <c r="Y972" s="7"/>
    </row>
    <row r="973" spans="1:25" ht="15">
      <c r="A973" s="81"/>
      <c r="B973" s="7"/>
      <c r="C973" s="7"/>
      <c r="D973" s="7"/>
      <c r="E973" s="7"/>
      <c r="F973" s="7"/>
      <c r="G973" s="7"/>
      <c r="H973" s="7"/>
      <c r="J973" s="7"/>
      <c r="K973" s="7"/>
      <c r="L973" s="7"/>
      <c r="M973" s="7"/>
      <c r="N973" s="7"/>
      <c r="O973" s="7"/>
      <c r="P973" s="7"/>
      <c r="Q973" s="7"/>
      <c r="R973" s="7"/>
      <c r="S973" s="7"/>
      <c r="T973" s="7"/>
      <c r="U973" s="7"/>
      <c r="V973" s="7"/>
      <c r="W973" s="7"/>
      <c r="X973" s="7"/>
      <c r="Y973" s="7"/>
    </row>
    <row r="974" spans="1:25" ht="15">
      <c r="A974" s="81"/>
      <c r="B974" s="7"/>
      <c r="C974" s="7"/>
      <c r="D974" s="7"/>
      <c r="E974" s="7"/>
      <c r="F974" s="7"/>
      <c r="G974" s="7"/>
      <c r="H974" s="7"/>
      <c r="J974" s="7"/>
      <c r="K974" s="7"/>
      <c r="L974" s="7"/>
      <c r="M974" s="7"/>
      <c r="N974" s="7"/>
      <c r="O974" s="7"/>
      <c r="P974" s="7"/>
      <c r="Q974" s="7"/>
      <c r="R974" s="7"/>
      <c r="S974" s="7"/>
      <c r="T974" s="7"/>
      <c r="U974" s="7"/>
      <c r="V974" s="7"/>
      <c r="W974" s="7"/>
      <c r="X974" s="7"/>
      <c r="Y974" s="7"/>
    </row>
    <row r="975" spans="1:25" ht="15">
      <c r="A975" s="81"/>
      <c r="B975" s="7"/>
      <c r="C975" s="7"/>
      <c r="D975" s="7"/>
      <c r="E975" s="7"/>
      <c r="F975" s="7"/>
      <c r="G975" s="7"/>
      <c r="H975" s="7"/>
      <c r="J975" s="7"/>
      <c r="K975" s="7"/>
      <c r="L975" s="7"/>
      <c r="M975" s="7"/>
      <c r="N975" s="7"/>
      <c r="O975" s="7"/>
      <c r="P975" s="7"/>
      <c r="Q975" s="7"/>
      <c r="R975" s="7"/>
      <c r="S975" s="7"/>
      <c r="T975" s="7"/>
      <c r="U975" s="7"/>
      <c r="V975" s="7"/>
      <c r="W975" s="7"/>
      <c r="X975" s="7"/>
      <c r="Y975" s="7"/>
    </row>
    <row r="976" spans="1:25" ht="15">
      <c r="A976" s="81"/>
      <c r="B976" s="7"/>
      <c r="C976" s="7"/>
      <c r="D976" s="7"/>
      <c r="E976" s="7"/>
      <c r="F976" s="7"/>
      <c r="G976" s="7"/>
      <c r="H976" s="7"/>
      <c r="J976" s="7"/>
      <c r="K976" s="7"/>
      <c r="L976" s="7"/>
      <c r="M976" s="7"/>
      <c r="N976" s="7"/>
      <c r="O976" s="7"/>
      <c r="P976" s="7"/>
      <c r="Q976" s="7"/>
      <c r="R976" s="7"/>
      <c r="S976" s="7"/>
      <c r="T976" s="7"/>
      <c r="U976" s="7"/>
      <c r="V976" s="7"/>
      <c r="W976" s="7"/>
      <c r="X976" s="7"/>
      <c r="Y976" s="7"/>
    </row>
    <row r="977" spans="1:25" ht="15">
      <c r="A977" s="81"/>
      <c r="B977" s="7"/>
      <c r="C977" s="7"/>
      <c r="D977" s="7"/>
      <c r="E977" s="7"/>
      <c r="F977" s="7"/>
      <c r="G977" s="7"/>
      <c r="H977" s="7"/>
      <c r="J977" s="7"/>
      <c r="K977" s="7"/>
      <c r="L977" s="7"/>
      <c r="M977" s="7"/>
      <c r="N977" s="7"/>
      <c r="O977" s="7"/>
      <c r="P977" s="7"/>
      <c r="Q977" s="7"/>
      <c r="R977" s="7"/>
      <c r="S977" s="7"/>
      <c r="T977" s="7"/>
      <c r="U977" s="7"/>
      <c r="V977" s="7"/>
      <c r="W977" s="7"/>
      <c r="X977" s="7"/>
      <c r="Y977" s="7"/>
    </row>
    <row r="978" spans="1:25" ht="15">
      <c r="A978" s="81"/>
      <c r="B978" s="7"/>
      <c r="C978" s="7"/>
      <c r="D978" s="7"/>
      <c r="E978" s="7"/>
      <c r="F978" s="7"/>
      <c r="G978" s="7"/>
      <c r="H978" s="7"/>
      <c r="J978" s="7"/>
      <c r="K978" s="7"/>
      <c r="L978" s="7"/>
      <c r="M978" s="7"/>
      <c r="N978" s="7"/>
      <c r="O978" s="7"/>
      <c r="P978" s="7"/>
      <c r="Q978" s="7"/>
      <c r="R978" s="7"/>
      <c r="S978" s="7"/>
      <c r="T978" s="7"/>
      <c r="U978" s="7"/>
      <c r="V978" s="7"/>
      <c r="W978" s="7"/>
      <c r="X978" s="7"/>
      <c r="Y978" s="7"/>
    </row>
    <row r="979" spans="1:25" ht="15">
      <c r="A979" s="81"/>
      <c r="B979" s="7"/>
      <c r="C979" s="7"/>
      <c r="D979" s="7"/>
      <c r="E979" s="7"/>
      <c r="F979" s="7"/>
      <c r="G979" s="7"/>
      <c r="H979" s="7"/>
      <c r="J979" s="7"/>
      <c r="K979" s="7"/>
      <c r="L979" s="7"/>
      <c r="M979" s="7"/>
      <c r="N979" s="7"/>
      <c r="O979" s="7"/>
      <c r="P979" s="7"/>
      <c r="Q979" s="7"/>
      <c r="R979" s="7"/>
      <c r="S979" s="7"/>
      <c r="T979" s="7"/>
      <c r="U979" s="7"/>
      <c r="V979" s="7"/>
      <c r="W979" s="7"/>
      <c r="X979" s="7"/>
      <c r="Y979" s="7"/>
    </row>
    <row r="980" spans="1:25" ht="15">
      <c r="A980" s="81"/>
      <c r="B980" s="7"/>
      <c r="C980" s="7"/>
      <c r="D980" s="7"/>
      <c r="E980" s="7"/>
      <c r="F980" s="7"/>
      <c r="G980" s="7"/>
      <c r="H980" s="7"/>
      <c r="J980" s="7"/>
      <c r="K980" s="7"/>
      <c r="L980" s="7"/>
      <c r="M980" s="7"/>
      <c r="N980" s="7"/>
      <c r="O980" s="7"/>
      <c r="P980" s="7"/>
      <c r="Q980" s="7"/>
      <c r="R980" s="7"/>
      <c r="S980" s="7"/>
      <c r="T980" s="7"/>
      <c r="U980" s="7"/>
      <c r="V980" s="7"/>
      <c r="W980" s="7"/>
      <c r="X980" s="7"/>
      <c r="Y980" s="7"/>
    </row>
    <row r="981" spans="1:25" ht="15">
      <c r="A981" s="81"/>
      <c r="B981" s="7"/>
      <c r="C981" s="7"/>
      <c r="D981" s="7"/>
      <c r="E981" s="7"/>
      <c r="F981" s="7"/>
      <c r="G981" s="7"/>
      <c r="H981" s="7"/>
      <c r="J981" s="7"/>
      <c r="K981" s="7"/>
      <c r="L981" s="7"/>
      <c r="M981" s="7"/>
      <c r="N981" s="7"/>
      <c r="O981" s="7"/>
      <c r="P981" s="7"/>
      <c r="Q981" s="7"/>
      <c r="R981" s="7"/>
      <c r="S981" s="7"/>
      <c r="T981" s="7"/>
      <c r="U981" s="7"/>
      <c r="V981" s="7"/>
      <c r="W981" s="7"/>
      <c r="X981" s="7"/>
      <c r="Y981" s="7"/>
    </row>
    <row r="982" spans="1:25" ht="15">
      <c r="A982" s="81"/>
      <c r="B982" s="7"/>
      <c r="C982" s="7"/>
      <c r="D982" s="7"/>
      <c r="E982" s="7"/>
      <c r="F982" s="7"/>
      <c r="G982" s="7"/>
      <c r="H982" s="7"/>
      <c r="J982" s="7"/>
      <c r="K982" s="7"/>
      <c r="L982" s="7"/>
      <c r="M982" s="7"/>
      <c r="N982" s="7"/>
      <c r="O982" s="7"/>
      <c r="P982" s="7"/>
      <c r="Q982" s="7"/>
      <c r="R982" s="7"/>
      <c r="S982" s="7"/>
      <c r="T982" s="7"/>
      <c r="U982" s="7"/>
      <c r="V982" s="7"/>
      <c r="W982" s="7"/>
      <c r="X982" s="7"/>
      <c r="Y982" s="7"/>
    </row>
    <row r="983" spans="1:25" ht="15">
      <c r="A983" s="81"/>
      <c r="B983" s="7"/>
      <c r="C983" s="7"/>
      <c r="D983" s="7"/>
      <c r="E983" s="7"/>
      <c r="F983" s="7"/>
      <c r="G983" s="7"/>
      <c r="H983" s="7"/>
      <c r="J983" s="7"/>
      <c r="K983" s="7"/>
      <c r="L983" s="7"/>
      <c r="M983" s="7"/>
      <c r="N983" s="7"/>
      <c r="O983" s="7"/>
      <c r="P983" s="7"/>
      <c r="Q983" s="7"/>
      <c r="R983" s="7"/>
      <c r="S983" s="7"/>
      <c r="T983" s="7"/>
      <c r="U983" s="7"/>
      <c r="V983" s="7"/>
      <c r="W983" s="7"/>
      <c r="X983" s="7"/>
      <c r="Y983" s="7"/>
    </row>
    <row r="984" spans="1:25" ht="15">
      <c r="A984" s="81"/>
      <c r="B984" s="7"/>
      <c r="C984" s="7"/>
      <c r="D984" s="7"/>
      <c r="E984" s="7"/>
      <c r="F984" s="7"/>
      <c r="G984" s="7"/>
      <c r="H984" s="7"/>
      <c r="J984" s="7"/>
      <c r="K984" s="7"/>
      <c r="L984" s="7"/>
      <c r="M984" s="7"/>
      <c r="N984" s="7"/>
      <c r="O984" s="7"/>
      <c r="P984" s="7"/>
      <c r="Q984" s="7"/>
      <c r="R984" s="7"/>
      <c r="S984" s="7"/>
      <c r="T984" s="7"/>
      <c r="U984" s="7"/>
      <c r="V984" s="7"/>
      <c r="W984" s="7"/>
      <c r="X984" s="7"/>
      <c r="Y984" s="7"/>
    </row>
    <row r="985" spans="1:25" ht="15">
      <c r="A985" s="81"/>
      <c r="B985" s="7"/>
      <c r="C985" s="7"/>
      <c r="D985" s="7"/>
      <c r="E985" s="7"/>
      <c r="F985" s="7"/>
      <c r="G985" s="7"/>
      <c r="H985" s="7"/>
      <c r="J985" s="7"/>
      <c r="K985" s="7"/>
      <c r="L985" s="7"/>
      <c r="M985" s="7"/>
      <c r="N985" s="7"/>
      <c r="O985" s="7"/>
      <c r="P985" s="7"/>
      <c r="Q985" s="7"/>
      <c r="R985" s="7"/>
      <c r="S985" s="7"/>
      <c r="T985" s="7"/>
      <c r="U985" s="7"/>
      <c r="V985" s="7"/>
      <c r="W985" s="7"/>
      <c r="X985" s="7"/>
      <c r="Y985" s="7"/>
    </row>
    <row r="986" spans="1:25" ht="15">
      <c r="A986" s="81"/>
      <c r="B986" s="7"/>
      <c r="C986" s="7"/>
      <c r="D986" s="7"/>
      <c r="E986" s="7"/>
      <c r="F986" s="7"/>
      <c r="G986" s="7"/>
      <c r="H986" s="7"/>
      <c r="J986" s="7"/>
      <c r="K986" s="7"/>
      <c r="L986" s="7"/>
      <c r="M986" s="7"/>
      <c r="N986" s="7"/>
      <c r="O986" s="7"/>
      <c r="P986" s="7"/>
      <c r="Q986" s="7"/>
      <c r="R986" s="7"/>
      <c r="S986" s="7"/>
      <c r="T986" s="7"/>
      <c r="U986" s="7"/>
      <c r="V986" s="7"/>
      <c r="W986" s="7"/>
      <c r="X986" s="7"/>
      <c r="Y986" s="7"/>
    </row>
    <row r="987" spans="1:25" ht="15">
      <c r="A987" s="81"/>
      <c r="B987" s="7"/>
      <c r="C987" s="7"/>
      <c r="D987" s="7"/>
      <c r="E987" s="7"/>
      <c r="F987" s="7"/>
      <c r="G987" s="7"/>
      <c r="H987" s="7"/>
      <c r="J987" s="7"/>
      <c r="K987" s="7"/>
      <c r="L987" s="7"/>
      <c r="M987" s="7"/>
      <c r="N987" s="7"/>
      <c r="O987" s="7"/>
      <c r="P987" s="7"/>
      <c r="Q987" s="7"/>
      <c r="R987" s="7"/>
      <c r="S987" s="7"/>
      <c r="T987" s="7"/>
      <c r="U987" s="7"/>
      <c r="V987" s="7"/>
      <c r="W987" s="7"/>
      <c r="X987" s="7"/>
      <c r="Y987" s="7"/>
    </row>
    <row r="988" spans="1:25" ht="15">
      <c r="A988" s="81"/>
      <c r="B988" s="7"/>
      <c r="C988" s="7"/>
      <c r="D988" s="7"/>
      <c r="E988" s="7"/>
      <c r="F988" s="7"/>
      <c r="G988" s="7"/>
      <c r="H988" s="7"/>
      <c r="J988" s="7"/>
      <c r="K988" s="7"/>
      <c r="L988" s="7"/>
      <c r="M988" s="7"/>
      <c r="N988" s="7"/>
      <c r="O988" s="7"/>
      <c r="P988" s="7"/>
      <c r="Q988" s="7"/>
      <c r="R988" s="7"/>
      <c r="S988" s="7"/>
      <c r="T988" s="7"/>
      <c r="U988" s="7"/>
      <c r="V988" s="7"/>
      <c r="W988" s="7"/>
      <c r="X988" s="7"/>
      <c r="Y988" s="7"/>
    </row>
    <row r="989" spans="1:25" ht="15">
      <c r="A989" s="81"/>
      <c r="B989" s="7"/>
      <c r="C989" s="7"/>
      <c r="D989" s="7"/>
      <c r="E989" s="7"/>
      <c r="F989" s="7"/>
      <c r="G989" s="7"/>
      <c r="H989" s="7"/>
      <c r="J989" s="7"/>
      <c r="K989" s="7"/>
      <c r="L989" s="7"/>
      <c r="M989" s="7"/>
      <c r="N989" s="7"/>
      <c r="O989" s="7"/>
      <c r="P989" s="7"/>
      <c r="Q989" s="7"/>
      <c r="R989" s="7"/>
      <c r="S989" s="7"/>
      <c r="T989" s="7"/>
      <c r="U989" s="7"/>
      <c r="V989" s="7"/>
      <c r="W989" s="7"/>
      <c r="X989" s="7"/>
      <c r="Y989" s="7"/>
    </row>
    <row r="990" spans="1:25" ht="15">
      <c r="A990" s="81"/>
      <c r="B990" s="7"/>
      <c r="C990" s="7"/>
      <c r="D990" s="7"/>
      <c r="E990" s="7"/>
      <c r="F990" s="7"/>
      <c r="G990" s="7"/>
      <c r="H990" s="7"/>
      <c r="J990" s="7"/>
      <c r="K990" s="7"/>
      <c r="L990" s="7"/>
      <c r="M990" s="7"/>
      <c r="N990" s="7"/>
      <c r="O990" s="7"/>
      <c r="P990" s="7"/>
      <c r="Q990" s="7"/>
      <c r="R990" s="7"/>
      <c r="S990" s="7"/>
      <c r="T990" s="7"/>
      <c r="U990" s="7"/>
      <c r="V990" s="7"/>
      <c r="W990" s="7"/>
      <c r="X990" s="7"/>
      <c r="Y990" s="7"/>
    </row>
    <row r="991" spans="1:25" ht="15">
      <c r="A991" s="81"/>
      <c r="B991" s="7"/>
      <c r="C991" s="7"/>
      <c r="D991" s="7"/>
      <c r="E991" s="7"/>
      <c r="F991" s="7"/>
      <c r="G991" s="7"/>
      <c r="H991" s="7"/>
      <c r="J991" s="7"/>
      <c r="K991" s="7"/>
      <c r="L991" s="7"/>
      <c r="M991" s="7"/>
      <c r="N991" s="7"/>
      <c r="O991" s="7"/>
      <c r="P991" s="7"/>
      <c r="Q991" s="7"/>
      <c r="R991" s="7"/>
      <c r="S991" s="7"/>
      <c r="T991" s="7"/>
      <c r="U991" s="7"/>
      <c r="V991" s="7"/>
      <c r="W991" s="7"/>
      <c r="X991" s="7"/>
      <c r="Y991" s="7"/>
    </row>
    <row r="992" spans="1:25" ht="15">
      <c r="A992" s="81"/>
      <c r="B992" s="7"/>
      <c r="C992" s="7"/>
      <c r="D992" s="7"/>
      <c r="E992" s="7"/>
      <c r="F992" s="7"/>
      <c r="G992" s="7"/>
      <c r="H992" s="7"/>
      <c r="J992" s="7"/>
      <c r="K992" s="7"/>
      <c r="L992" s="7"/>
      <c r="M992" s="7"/>
      <c r="N992" s="7"/>
      <c r="O992" s="7"/>
      <c r="P992" s="7"/>
      <c r="Q992" s="7"/>
      <c r="R992" s="7"/>
      <c r="S992" s="7"/>
      <c r="T992" s="7"/>
      <c r="U992" s="7"/>
      <c r="V992" s="7"/>
      <c r="W992" s="7"/>
      <c r="X992" s="7"/>
      <c r="Y992" s="7"/>
    </row>
    <row r="993" spans="1:25" ht="15">
      <c r="A993" s="81"/>
      <c r="B993" s="7"/>
      <c r="C993" s="7"/>
      <c r="D993" s="7"/>
      <c r="E993" s="7"/>
      <c r="F993" s="7"/>
      <c r="G993" s="7"/>
      <c r="H993" s="7"/>
      <c r="J993" s="7"/>
      <c r="K993" s="7"/>
      <c r="L993" s="7"/>
      <c r="M993" s="7"/>
      <c r="N993" s="7"/>
      <c r="O993" s="7"/>
      <c r="P993" s="7"/>
      <c r="Q993" s="7"/>
      <c r="R993" s="7"/>
      <c r="S993" s="7"/>
      <c r="T993" s="7"/>
      <c r="U993" s="7"/>
      <c r="V993" s="7"/>
      <c r="W993" s="7"/>
      <c r="X993" s="7"/>
      <c r="Y993" s="7"/>
    </row>
    <row r="994" spans="1:25" ht="15">
      <c r="A994" s="81"/>
      <c r="B994" s="7"/>
      <c r="C994" s="7"/>
      <c r="D994" s="7"/>
      <c r="E994" s="7"/>
      <c r="F994" s="7"/>
      <c r="G994" s="7"/>
      <c r="H994" s="7"/>
      <c r="J994" s="7"/>
      <c r="K994" s="7"/>
      <c r="L994" s="7"/>
      <c r="M994" s="7"/>
      <c r="N994" s="7"/>
      <c r="O994" s="7"/>
      <c r="P994" s="7"/>
      <c r="Q994" s="7"/>
      <c r="R994" s="7"/>
      <c r="S994" s="7"/>
      <c r="T994" s="7"/>
      <c r="U994" s="7"/>
      <c r="V994" s="7"/>
      <c r="W994" s="7"/>
      <c r="X994" s="7"/>
      <c r="Y994" s="7"/>
    </row>
    <row r="995" spans="1:25" ht="15">
      <c r="A995" s="81"/>
      <c r="B995" s="7"/>
      <c r="C995" s="7"/>
      <c r="D995" s="7"/>
      <c r="E995" s="7"/>
      <c r="F995" s="7"/>
      <c r="G995" s="7"/>
      <c r="H995" s="7"/>
      <c r="J995" s="7"/>
      <c r="K995" s="7"/>
      <c r="L995" s="7"/>
      <c r="M995" s="7"/>
      <c r="N995" s="7"/>
      <c r="O995" s="7"/>
      <c r="P995" s="7"/>
      <c r="Q995" s="7"/>
      <c r="R995" s="7"/>
      <c r="S995" s="7"/>
      <c r="T995" s="7"/>
      <c r="U995" s="7"/>
      <c r="V995" s="7"/>
      <c r="W995" s="7"/>
      <c r="X995" s="7"/>
      <c r="Y995" s="7"/>
    </row>
    <row r="996" spans="1:25" ht="15">
      <c r="A996" s="81"/>
      <c r="B996" s="7"/>
      <c r="C996" s="7"/>
      <c r="D996" s="7"/>
      <c r="E996" s="7"/>
      <c r="F996" s="7"/>
      <c r="G996" s="7"/>
      <c r="H996" s="7"/>
      <c r="J996" s="7"/>
      <c r="K996" s="7"/>
      <c r="L996" s="7"/>
      <c r="M996" s="7"/>
      <c r="N996" s="7"/>
      <c r="O996" s="7"/>
      <c r="P996" s="7"/>
      <c r="Q996" s="7"/>
      <c r="R996" s="7"/>
      <c r="S996" s="7"/>
      <c r="T996" s="7"/>
      <c r="U996" s="7"/>
      <c r="V996" s="7"/>
      <c r="W996" s="7"/>
      <c r="X996" s="7"/>
      <c r="Y996" s="7"/>
    </row>
    <row r="997" spans="1:25" ht="15">
      <c r="A997" s="81"/>
      <c r="B997" s="7"/>
      <c r="C997" s="7"/>
      <c r="D997" s="7"/>
      <c r="E997" s="7"/>
      <c r="F997" s="7"/>
      <c r="G997" s="7"/>
      <c r="H997" s="7"/>
      <c r="J997" s="7"/>
      <c r="K997" s="7"/>
      <c r="L997" s="7"/>
      <c r="M997" s="7"/>
      <c r="N997" s="7"/>
      <c r="O997" s="7"/>
      <c r="P997" s="7"/>
      <c r="Q997" s="7"/>
      <c r="R997" s="7"/>
      <c r="S997" s="7"/>
      <c r="T997" s="7"/>
      <c r="U997" s="7"/>
      <c r="V997" s="7"/>
      <c r="W997" s="7"/>
      <c r="X997" s="7"/>
      <c r="Y997" s="7"/>
    </row>
    <row r="998" spans="1:25" ht="15">
      <c r="A998" s="81"/>
      <c r="B998" s="7"/>
      <c r="C998" s="7"/>
      <c r="D998" s="7"/>
      <c r="E998" s="7"/>
      <c r="F998" s="7"/>
      <c r="G998" s="7"/>
      <c r="H998" s="7"/>
      <c r="J998" s="7"/>
      <c r="K998" s="7"/>
      <c r="L998" s="7"/>
      <c r="M998" s="7"/>
      <c r="N998" s="7"/>
      <c r="O998" s="7"/>
      <c r="P998" s="7"/>
      <c r="Q998" s="7"/>
      <c r="R998" s="7"/>
      <c r="S998" s="7"/>
      <c r="T998" s="7"/>
      <c r="U998" s="7"/>
      <c r="V998" s="7"/>
      <c r="W998" s="7"/>
      <c r="X998" s="7"/>
      <c r="Y998" s="7"/>
    </row>
    <row r="999" spans="1:25" ht="15">
      <c r="A999" s="81"/>
      <c r="B999" s="7"/>
      <c r="C999" s="7"/>
      <c r="D999" s="7"/>
      <c r="E999" s="7"/>
      <c r="F999" s="7"/>
      <c r="G999" s="7"/>
      <c r="H999" s="7"/>
      <c r="J999" s="7"/>
      <c r="K999" s="7"/>
      <c r="L999" s="7"/>
      <c r="M999" s="7"/>
      <c r="N999" s="7"/>
      <c r="O999" s="7"/>
      <c r="P999" s="7"/>
      <c r="Q999" s="7"/>
      <c r="R999" s="7"/>
      <c r="S999" s="7"/>
      <c r="T999" s="7"/>
      <c r="U999" s="7"/>
      <c r="V999" s="7"/>
      <c r="W999" s="7"/>
      <c r="X999" s="7"/>
      <c r="Y999" s="7"/>
    </row>
    <row r="1000" spans="1:25" ht="15">
      <c r="A1000" s="81"/>
      <c r="B1000" s="7"/>
      <c r="C1000" s="7"/>
      <c r="D1000" s="7"/>
      <c r="E1000" s="7"/>
      <c r="F1000" s="7"/>
      <c r="G1000" s="7"/>
      <c r="H1000" s="7"/>
      <c r="J1000" s="7"/>
      <c r="K1000" s="7"/>
      <c r="L1000" s="7"/>
      <c r="M1000" s="7"/>
      <c r="N1000" s="7"/>
      <c r="O1000" s="7"/>
      <c r="P1000" s="7"/>
      <c r="Q1000" s="7"/>
      <c r="R1000" s="7"/>
      <c r="S1000" s="7"/>
      <c r="T1000" s="7"/>
      <c r="U1000" s="7"/>
      <c r="V1000" s="7"/>
      <c r="W1000" s="7"/>
      <c r="X1000" s="7"/>
      <c r="Y1000" s="7"/>
    </row>
    <row r="1001" spans="1:25" ht="15">
      <c r="A1001" s="81"/>
      <c r="B1001" s="7"/>
      <c r="C1001" s="7"/>
      <c r="D1001" s="7"/>
      <c r="E1001" s="7"/>
      <c r="F1001" s="7"/>
      <c r="G1001" s="7"/>
      <c r="H1001" s="7"/>
      <c r="J1001" s="7"/>
      <c r="K1001" s="7"/>
      <c r="L1001" s="7"/>
      <c r="M1001" s="7"/>
      <c r="N1001" s="7"/>
      <c r="O1001" s="7"/>
      <c r="P1001" s="7"/>
      <c r="Q1001" s="7"/>
      <c r="R1001" s="7"/>
      <c r="S1001" s="7"/>
      <c r="T1001" s="7"/>
      <c r="U1001" s="7"/>
      <c r="V1001" s="7"/>
      <c r="W1001" s="7"/>
      <c r="X1001" s="7"/>
      <c r="Y1001" s="7"/>
    </row>
  </sheetData>
  <mergeCells count="9">
    <mergeCell ref="C64:G64"/>
    <mergeCell ref="C65:G65"/>
    <mergeCell ref="B6:E6"/>
    <mergeCell ref="A8:G8"/>
    <mergeCell ref="A55:G55"/>
    <mergeCell ref="C61:G61"/>
    <mergeCell ref="C62:D62"/>
    <mergeCell ref="E62:G62"/>
    <mergeCell ref="C63:G63"/>
  </mergeCells>
  <hyperlinks>
    <hyperlink ref="A1" location="Index!A1" display="Index" xr:uid="{00000000-0004-0000-0D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outlinePr summaryBelow="0" summaryRight="0"/>
  </sheetPr>
  <dimension ref="A1:Z1003"/>
  <sheetViews>
    <sheetView zoomScale="75" workbookViewId="0">
      <selection activeCell="D49" sqref="D49"/>
    </sheetView>
  </sheetViews>
  <sheetFormatPr baseColWidth="10" defaultColWidth="14.33203125" defaultRowHeight="15.75" customHeight="1"/>
  <cols>
    <col min="1" max="1" width="64.5" customWidth="1"/>
    <col min="2" max="2" width="17.1640625" customWidth="1"/>
    <col min="3" max="5" width="18" customWidth="1"/>
    <col min="6" max="6" width="18.33203125" customWidth="1"/>
    <col min="7" max="7" width="18.5" customWidth="1"/>
    <col min="8" max="8" width="14.83203125" customWidth="1"/>
    <col min="9" max="13" width="13.1640625" customWidth="1"/>
    <col min="17" max="17" width="30.33203125" customWidth="1"/>
    <col min="19" max="23" width="14.33203125" customWidth="1"/>
  </cols>
  <sheetData>
    <row r="1" spans="1:26" ht="26">
      <c r="A1" s="4" t="s">
        <v>0</v>
      </c>
      <c r="B1" s="81"/>
      <c r="C1" s="81"/>
      <c r="D1" s="81"/>
      <c r="E1" s="81"/>
      <c r="F1" s="81"/>
      <c r="G1" s="81"/>
      <c r="H1" s="81"/>
      <c r="I1" s="81"/>
      <c r="J1" s="81"/>
      <c r="K1" s="81"/>
      <c r="L1" s="81"/>
      <c r="M1" s="81"/>
      <c r="N1" s="81"/>
      <c r="O1" s="81"/>
      <c r="P1" s="81"/>
      <c r="Q1" s="81"/>
      <c r="R1" s="81"/>
      <c r="S1" s="81"/>
      <c r="T1" s="81"/>
      <c r="U1" s="81"/>
      <c r="V1" s="81"/>
      <c r="W1" s="81"/>
      <c r="X1" s="81"/>
      <c r="Y1" s="81"/>
      <c r="Z1" s="81"/>
    </row>
    <row r="2" spans="1:26" ht="15.75" customHeight="1">
      <c r="W2" s="81"/>
      <c r="X2" s="81"/>
      <c r="Y2" s="81"/>
      <c r="Z2" s="81"/>
    </row>
    <row r="3" spans="1:26" ht="15.75" customHeight="1">
      <c r="A3" s="22" t="str">
        <f>'FE Finance Assumptions'!B6</f>
        <v>PupPal</v>
      </c>
      <c r="B3" s="23"/>
      <c r="C3" s="23"/>
      <c r="D3" s="23"/>
      <c r="E3" s="23"/>
      <c r="F3" s="23"/>
      <c r="G3" s="23"/>
      <c r="H3" s="23"/>
      <c r="I3" s="77"/>
      <c r="J3" s="77"/>
      <c r="K3" s="81"/>
      <c r="L3" s="81"/>
      <c r="M3" s="81"/>
      <c r="N3" s="81"/>
      <c r="O3" s="81"/>
      <c r="P3" s="81"/>
      <c r="Q3" s="81"/>
      <c r="R3" s="81"/>
      <c r="S3" s="81"/>
      <c r="T3" s="81"/>
      <c r="U3" s="81"/>
      <c r="V3" s="81"/>
      <c r="W3" s="81"/>
      <c r="X3" s="81"/>
      <c r="Y3" s="81"/>
      <c r="Z3" s="81"/>
    </row>
    <row r="4" spans="1:26" ht="15.75" customHeight="1">
      <c r="I4" s="77"/>
      <c r="J4" s="77"/>
      <c r="K4" s="81"/>
      <c r="L4" s="81"/>
      <c r="M4" s="81"/>
      <c r="N4" s="81"/>
      <c r="O4" s="82"/>
      <c r="P4" s="82"/>
      <c r="Q4" s="82"/>
      <c r="R4" s="82"/>
      <c r="S4" s="82"/>
      <c r="T4" s="82"/>
      <c r="U4" s="82"/>
      <c r="V4" s="81"/>
      <c r="W4" s="81"/>
      <c r="X4" s="81"/>
      <c r="Y4" s="81"/>
      <c r="Z4" s="81"/>
    </row>
    <row r="5" spans="1:26" ht="15.75" customHeight="1">
      <c r="A5" s="891" t="s">
        <v>855</v>
      </c>
      <c r="I5" s="84"/>
      <c r="J5" s="84"/>
      <c r="K5" s="84"/>
      <c r="L5" s="84"/>
      <c r="M5" s="84"/>
      <c r="N5" s="81"/>
      <c r="O5" s="82"/>
      <c r="P5" s="81"/>
      <c r="Q5" s="85"/>
      <c r="R5" s="85"/>
      <c r="S5" s="85"/>
      <c r="T5" s="85"/>
      <c r="U5" s="85"/>
      <c r="V5" s="81"/>
      <c r="W5" s="81"/>
      <c r="X5" s="81"/>
      <c r="Y5" s="81"/>
      <c r="Z5" s="81"/>
    </row>
    <row r="6" spans="1:26" ht="15.75" customHeight="1">
      <c r="A6" s="890" t="s">
        <v>83</v>
      </c>
      <c r="B6" s="23"/>
      <c r="C6" s="23"/>
      <c r="D6" s="23"/>
      <c r="E6" s="23"/>
      <c r="F6" s="23"/>
      <c r="G6" s="23"/>
      <c r="H6" s="23"/>
      <c r="I6" s="77"/>
      <c r="J6" s="77"/>
      <c r="K6" s="87"/>
      <c r="L6" s="87"/>
      <c r="M6" s="87"/>
      <c r="N6" s="87"/>
      <c r="O6" s="88"/>
      <c r="P6" s="81"/>
      <c r="Q6" s="85"/>
      <c r="R6" s="85"/>
      <c r="S6" s="85"/>
      <c r="T6" s="85"/>
      <c r="U6" s="85"/>
      <c r="V6" s="81"/>
      <c r="W6" s="81"/>
      <c r="X6" s="81"/>
      <c r="Y6" s="81"/>
      <c r="Z6" s="81"/>
    </row>
    <row r="7" spans="1:26" ht="15.75" customHeight="1">
      <c r="A7" s="24" t="s">
        <v>21</v>
      </c>
      <c r="B7" s="83" t="s">
        <v>84</v>
      </c>
      <c r="C7" s="83" t="s">
        <v>85</v>
      </c>
      <c r="D7" s="83" t="s">
        <v>86</v>
      </c>
      <c r="E7" s="83" t="s">
        <v>87</v>
      </c>
      <c r="F7" s="83" t="s">
        <v>88</v>
      </c>
      <c r="G7" s="83" t="s">
        <v>89</v>
      </c>
      <c r="H7" s="84"/>
      <c r="I7" s="77"/>
      <c r="J7" s="77"/>
      <c r="K7" s="92"/>
      <c r="L7" s="87"/>
      <c r="M7" s="87"/>
      <c r="N7" s="87"/>
      <c r="O7" s="87"/>
      <c r="P7" s="82"/>
      <c r="Q7" s="85"/>
      <c r="R7" s="85"/>
      <c r="S7" s="85"/>
      <c r="T7" s="85"/>
      <c r="U7" s="85"/>
      <c r="V7" s="81"/>
      <c r="W7" s="81"/>
      <c r="X7" s="81"/>
      <c r="Y7" s="81"/>
      <c r="Z7" s="81"/>
    </row>
    <row r="8" spans="1:26" ht="15.75" customHeight="1">
      <c r="A8" s="23"/>
      <c r="B8" s="86"/>
      <c r="C8" s="54"/>
      <c r="D8" s="54"/>
      <c r="E8" s="54"/>
      <c r="F8" s="54"/>
      <c r="G8" s="54"/>
      <c r="H8" s="23"/>
      <c r="I8" s="94"/>
      <c r="J8" s="94"/>
      <c r="K8" s="92"/>
      <c r="L8" s="87"/>
      <c r="M8" s="87"/>
      <c r="N8" s="87"/>
      <c r="O8" s="87"/>
      <c r="P8" s="81"/>
      <c r="Q8" s="81"/>
      <c r="R8" s="81"/>
      <c r="S8" s="81"/>
      <c r="T8" s="81"/>
      <c r="U8" s="81"/>
      <c r="V8" s="81"/>
      <c r="W8" s="81"/>
      <c r="X8" s="81"/>
      <c r="Y8" s="81"/>
      <c r="Z8" s="81"/>
    </row>
    <row r="9" spans="1:26" ht="15.75" customHeight="1">
      <c r="A9" s="89" t="s">
        <v>90</v>
      </c>
      <c r="B9" s="90">
        <v>0</v>
      </c>
      <c r="C9" s="91">
        <f>('FE Finance Assumptions'!C27*'FE Finance Assumptions'!C34)+('FE Finance Assumptions'!C28*'FE Finance Assumptions'!C35)</f>
        <v>2159455.7780210599</v>
      </c>
      <c r="D9" s="91">
        <f>('FE Finance Assumptions'!D27*'FE Finance Assumptions'!D34)+('FE Finance Assumptions'!D28*'FE Finance Assumptions'!D35)</f>
        <v>3124032.5134086213</v>
      </c>
      <c r="E9" s="91">
        <f>('FE Finance Assumptions'!E27*'FE Finance Assumptions'!E34)+('FE Finance Assumptions'!E28*'FE Finance Assumptions'!E35)+('FE Finance Assumptions'!E29*'FE Finance Assumptions'!E36)</f>
        <v>7408441.4697118076</v>
      </c>
      <c r="F9" s="91">
        <f>('FE Finance Assumptions'!F27*'FE Finance Assumptions'!F34)+('FE Finance Assumptions'!F28*'FE Finance Assumptions'!F35)+('FE Finance Assumptions'!F29*'FE Finance Assumptions'!F36)+('FE Finance Assumptions'!F30*'FE Finance Assumptions'!F37)</f>
        <v>8860354.8769210596</v>
      </c>
      <c r="G9" s="91">
        <f>('FE Finance Assumptions'!G27*'FE Finance Assumptions'!G34)+('FE Finance Assumptions'!G28*'FE Finance Assumptions'!G35)+('FE Finance Assumptions'!G29*'FE Finance Assumptions'!G36)+('FE Finance Assumptions'!G30*'FE Finance Assumptions'!G37)</f>
        <v>11003055.883432988</v>
      </c>
      <c r="H9" s="23"/>
      <c r="I9" s="96"/>
      <c r="J9" s="96"/>
      <c r="K9" s="96"/>
      <c r="L9" s="96"/>
      <c r="M9" s="96"/>
      <c r="N9" s="87"/>
      <c r="O9" s="87"/>
      <c r="P9" s="81"/>
      <c r="Q9" s="81"/>
      <c r="R9" s="81"/>
      <c r="S9" s="81"/>
      <c r="T9" s="81"/>
      <c r="U9" s="81"/>
      <c r="V9" s="81"/>
      <c r="W9" s="81"/>
      <c r="X9" s="81"/>
      <c r="Y9" s="81"/>
      <c r="Z9" s="81"/>
    </row>
    <row r="10" spans="1:26" ht="15.75" customHeight="1">
      <c r="A10" s="23" t="s">
        <v>91</v>
      </c>
      <c r="B10" s="93">
        <f>-('OM COGS Yr 0-5'!B43*'OM COGS Yr 0-5'!B4)</f>
        <v>-113329.01333333334</v>
      </c>
      <c r="C10" s="33">
        <f>-'FE Finance Assumptions'!C43</f>
        <v>-870842.22008119733</v>
      </c>
      <c r="D10" s="33">
        <f>-'FE Finance Assumptions'!D43</f>
        <v>-1317793.3055241734</v>
      </c>
      <c r="E10" s="33">
        <f>-'FE Finance Assumptions'!E43</f>
        <v>-2484755.0437313588</v>
      </c>
      <c r="F10" s="33">
        <f>-'FE Finance Assumptions'!F43</f>
        <v>-3023260.1889986601</v>
      </c>
      <c r="G10" s="33">
        <f>-'FE Finance Assumptions'!G43</f>
        <v>-3669319.0539076352</v>
      </c>
      <c r="H10" s="23"/>
      <c r="I10" s="77"/>
      <c r="J10" s="77"/>
      <c r="K10" s="87"/>
      <c r="L10" s="87"/>
      <c r="M10" s="87"/>
      <c r="N10" s="87"/>
      <c r="O10" s="87"/>
      <c r="P10" s="81"/>
      <c r="Q10" s="81"/>
      <c r="R10" s="81"/>
      <c r="S10" s="81"/>
      <c r="T10" s="81"/>
      <c r="U10" s="81"/>
      <c r="V10" s="81"/>
      <c r="W10" s="81"/>
      <c r="X10" s="81"/>
      <c r="Y10" s="81"/>
      <c r="Z10" s="81"/>
    </row>
    <row r="11" spans="1:26" ht="15.75" customHeight="1">
      <c r="A11" s="23" t="s">
        <v>92</v>
      </c>
      <c r="B11" s="33">
        <f>(-'OM COGS Yr 0-5'!B55)</f>
        <v>-52208.333333333328</v>
      </c>
      <c r="C11" s="33">
        <f>(-'FE Finance Assumptions'!C44)</f>
        <v>-256050</v>
      </c>
      <c r="D11" s="33">
        <f>(-'FE Finance Assumptions'!D44)</f>
        <v>-262602</v>
      </c>
      <c r="E11" s="33">
        <f>(-'FE Finance Assumptions'!E44)</f>
        <v>-431850.55999999994</v>
      </c>
      <c r="F11" s="33">
        <f>(-'FE Finance Assumptions'!F44)</f>
        <v>-443676.57679999998</v>
      </c>
      <c r="G11" s="33">
        <f>(-'FE Finance Assumptions'!G44)</f>
        <v>-455857.37410400005</v>
      </c>
      <c r="H11" s="95"/>
      <c r="I11" s="77"/>
      <c r="J11" s="77"/>
      <c r="K11" s="87"/>
      <c r="L11" s="87"/>
      <c r="M11" s="87"/>
      <c r="N11" s="87"/>
      <c r="O11" s="87"/>
      <c r="P11" s="81"/>
      <c r="Q11" s="81"/>
      <c r="R11" s="81"/>
      <c r="S11" s="81"/>
      <c r="T11" s="81"/>
      <c r="U11" s="81"/>
      <c r="V11" s="81"/>
      <c r="W11" s="81"/>
      <c r="X11" s="81"/>
      <c r="Y11" s="81"/>
      <c r="Z11" s="81"/>
    </row>
    <row r="12" spans="1:26" ht="15.75" customHeight="1">
      <c r="A12" s="12" t="s">
        <v>93</v>
      </c>
      <c r="B12" s="97">
        <f>SUM(B10:B11)</f>
        <v>-165537.34666666668</v>
      </c>
      <c r="C12" s="97">
        <v>0</v>
      </c>
      <c r="D12" s="97">
        <v>0</v>
      </c>
      <c r="E12" s="97">
        <v>0</v>
      </c>
      <c r="F12" s="97">
        <v>0</v>
      </c>
      <c r="G12" s="97">
        <v>0</v>
      </c>
      <c r="H12" s="23"/>
      <c r="I12" s="3"/>
      <c r="J12" s="3"/>
      <c r="O12" s="87"/>
      <c r="P12" s="81"/>
      <c r="Q12" s="81"/>
      <c r="R12" s="81"/>
      <c r="S12" s="81"/>
      <c r="T12" s="81"/>
      <c r="U12" s="81"/>
      <c r="V12" s="81"/>
      <c r="W12" s="81"/>
      <c r="X12" s="81"/>
      <c r="Y12" s="81"/>
      <c r="Z12" s="81"/>
    </row>
    <row r="13" spans="1:26" ht="15.75" customHeight="1">
      <c r="A13" s="89" t="s">
        <v>94</v>
      </c>
      <c r="B13" s="98">
        <v>0</v>
      </c>
      <c r="C13" s="91">
        <f t="shared" ref="C13:G13" si="0">C10+C11</f>
        <v>-1126892.2200811973</v>
      </c>
      <c r="D13" s="91">
        <f t="shared" si="0"/>
        <v>-1580395.3055241734</v>
      </c>
      <c r="E13" s="91">
        <f t="shared" si="0"/>
        <v>-2916605.6037313589</v>
      </c>
      <c r="F13" s="91">
        <f t="shared" si="0"/>
        <v>-3466936.76579866</v>
      </c>
      <c r="G13" s="91">
        <f t="shared" si="0"/>
        <v>-4125176.4280116353</v>
      </c>
      <c r="H13" s="23"/>
      <c r="I13" s="3"/>
      <c r="J13" s="3"/>
      <c r="O13" s="87"/>
      <c r="P13" s="81"/>
      <c r="Q13" s="81"/>
      <c r="R13" s="81"/>
      <c r="S13" s="81"/>
      <c r="T13" s="81"/>
      <c r="U13" s="81"/>
      <c r="V13" s="81"/>
      <c r="W13" s="81"/>
      <c r="X13" s="81"/>
      <c r="Y13" s="81"/>
      <c r="Z13" s="81"/>
    </row>
    <row r="14" spans="1:26" ht="15.75" customHeight="1">
      <c r="A14" s="24" t="s">
        <v>95</v>
      </c>
      <c r="B14" s="97">
        <v>0</v>
      </c>
      <c r="C14" s="33">
        <f t="shared" ref="C14:G14" si="1">SUM(C9,C13)</f>
        <v>1032563.5579398626</v>
      </c>
      <c r="D14" s="33">
        <f t="shared" si="1"/>
        <v>1543637.2078844479</v>
      </c>
      <c r="E14" s="33">
        <f t="shared" si="1"/>
        <v>4491835.8659804482</v>
      </c>
      <c r="F14" s="33">
        <f t="shared" si="1"/>
        <v>5393418.1111223996</v>
      </c>
      <c r="G14" s="33">
        <f t="shared" si="1"/>
        <v>6877879.4554213528</v>
      </c>
      <c r="H14" s="23"/>
      <c r="I14" s="3"/>
      <c r="J14" s="77"/>
      <c r="K14" s="81"/>
      <c r="L14" s="87"/>
      <c r="M14" s="87"/>
      <c r="N14" s="87"/>
      <c r="O14" s="87"/>
      <c r="Q14" s="81"/>
      <c r="R14" s="81"/>
      <c r="S14" s="81"/>
      <c r="T14" s="81"/>
      <c r="U14" s="81"/>
      <c r="V14" s="81"/>
      <c r="W14" s="99"/>
      <c r="X14" s="99"/>
      <c r="Y14" s="99"/>
      <c r="Z14" s="99"/>
    </row>
    <row r="15" spans="1:26" ht="15.75" customHeight="1">
      <c r="A15" s="12" t="s">
        <v>96</v>
      </c>
      <c r="B15" s="97">
        <f>B12</f>
        <v>-165537.34666666668</v>
      </c>
      <c r="C15" s="97">
        <v>0</v>
      </c>
      <c r="D15" s="97">
        <v>0</v>
      </c>
      <c r="E15" s="97">
        <v>0</v>
      </c>
      <c r="F15" s="97">
        <v>0</v>
      </c>
      <c r="G15" s="97">
        <v>0</v>
      </c>
      <c r="H15" s="23"/>
      <c r="I15" s="3"/>
      <c r="J15" s="77"/>
      <c r="K15" s="81"/>
      <c r="L15" s="101"/>
      <c r="V15" s="99"/>
      <c r="W15" s="99"/>
      <c r="X15" s="99"/>
      <c r="Y15" s="99"/>
      <c r="Z15" s="99"/>
    </row>
    <row r="16" spans="1:26" ht="15.75" customHeight="1">
      <c r="A16" s="23" t="s">
        <v>97</v>
      </c>
      <c r="B16" s="33">
        <f>-'FE Finance Assumptions'!B22</f>
        <v>-571965.26243826665</v>
      </c>
      <c r="C16" s="97">
        <v>0</v>
      </c>
      <c r="D16" s="97">
        <v>0</v>
      </c>
      <c r="E16" s="97">
        <v>0</v>
      </c>
      <c r="F16" s="97">
        <v>0</v>
      </c>
      <c r="G16" s="97">
        <v>0</v>
      </c>
      <c r="H16" s="3"/>
      <c r="I16" s="103"/>
      <c r="J16" s="77"/>
      <c r="K16" s="81"/>
      <c r="L16" s="101"/>
      <c r="V16" s="99"/>
      <c r="W16" s="99"/>
      <c r="X16" s="99"/>
      <c r="Y16" s="99"/>
      <c r="Z16" s="99"/>
    </row>
    <row r="17" spans="1:26" ht="15.75" customHeight="1">
      <c r="A17" s="100" t="s">
        <v>98</v>
      </c>
      <c r="B17" s="33">
        <f>-'FE Finance Assumptions'!B49</f>
        <v>0</v>
      </c>
      <c r="C17" s="33">
        <f>-'FE Finance Assumptions'!C49</f>
        <v>-413660</v>
      </c>
      <c r="D17" s="33">
        <f>-'FE Finance Assumptions'!D49</f>
        <v>-426069.80000000005</v>
      </c>
      <c r="E17" s="33">
        <f>-'FE Finance Assumptions'!E49</f>
        <v>-680651.89400000009</v>
      </c>
      <c r="F17" s="33">
        <f>-'FE Finance Assumptions'!F49</f>
        <v>-701071.45082000003</v>
      </c>
      <c r="G17" s="33">
        <f>-'FE Finance Assumptions'!G49</f>
        <v>-722103.59434459987</v>
      </c>
      <c r="H17" s="3"/>
      <c r="I17" s="103"/>
      <c r="J17" s="103"/>
      <c r="K17" s="87"/>
      <c r="L17" s="87"/>
      <c r="M17" s="87"/>
      <c r="N17" s="87"/>
      <c r="O17" s="87"/>
      <c r="P17" s="99"/>
      <c r="Q17" s="99"/>
      <c r="R17" s="99"/>
      <c r="S17" s="99"/>
      <c r="T17" s="99"/>
      <c r="U17" s="99"/>
      <c r="V17" s="99"/>
      <c r="W17" s="99"/>
      <c r="X17" s="99"/>
      <c r="Y17" s="99"/>
      <c r="Z17" s="99"/>
    </row>
    <row r="18" spans="1:26" ht="15.75" customHeight="1">
      <c r="A18" s="100" t="s">
        <v>99</v>
      </c>
      <c r="B18" s="33">
        <f t="shared" ref="B18:B22" si="2">0</f>
        <v>0</v>
      </c>
      <c r="C18" s="33">
        <f>-'FE Finance Assumptions'!C48</f>
        <v>-141791.99999999991</v>
      </c>
      <c r="D18" s="33">
        <f>-'FE Finance Assumptions'!D48</f>
        <v>-141791.99999999991</v>
      </c>
      <c r="E18" s="33">
        <f>-'FE Finance Assumptions'!E48</f>
        <v>-190781.99999999991</v>
      </c>
      <c r="F18" s="33">
        <f>-'FE Finance Assumptions'!F48</f>
        <v>-172031.99999999991</v>
      </c>
      <c r="G18" s="33">
        <f>-'FE Finance Assumptions'!G48</f>
        <v>-172031.99999999991</v>
      </c>
      <c r="H18" s="102"/>
      <c r="I18" s="103"/>
      <c r="J18" s="103"/>
      <c r="K18" s="87"/>
      <c r="L18" s="87"/>
      <c r="M18" s="87"/>
      <c r="N18" s="87"/>
      <c r="O18" s="87"/>
      <c r="P18" s="99"/>
      <c r="Q18" s="99"/>
      <c r="R18" s="99"/>
      <c r="S18" s="99"/>
      <c r="T18" s="99"/>
      <c r="U18" s="99"/>
      <c r="V18" s="99"/>
      <c r="W18" s="81"/>
      <c r="X18" s="81"/>
      <c r="Y18" s="81"/>
      <c r="Z18" s="81"/>
    </row>
    <row r="19" spans="1:26" ht="16">
      <c r="A19" s="102" t="s">
        <v>100</v>
      </c>
      <c r="B19" s="33">
        <f t="shared" si="2"/>
        <v>0</v>
      </c>
      <c r="C19" s="33">
        <f>-'FE Finance Assumptions'!C50</f>
        <v>-172759.86293766144</v>
      </c>
      <c r="D19" s="33">
        <f>-'FE Finance Assumptions'!D50</f>
        <v>-169761.75982801139</v>
      </c>
      <c r="E19" s="33">
        <f>-'FE Finance Assumptions'!E50</f>
        <v>-330746.15157086716</v>
      </c>
      <c r="F19" s="33">
        <f>-'FE Finance Assumptions'!F50</f>
        <v>-333686.99623847636</v>
      </c>
      <c r="G19" s="33">
        <f>-'FE Finance Assumptions'!G50</f>
        <v>-348794.07645208726</v>
      </c>
      <c r="H19" s="100"/>
      <c r="I19" s="77"/>
      <c r="J19" s="77"/>
      <c r="K19" s="104"/>
      <c r="L19" s="87"/>
      <c r="M19" s="87"/>
      <c r="N19" s="87"/>
      <c r="O19" s="87"/>
      <c r="P19" s="82"/>
      <c r="Q19" s="82"/>
      <c r="R19" s="82"/>
      <c r="S19" s="81"/>
      <c r="T19" s="81"/>
      <c r="U19" s="81"/>
      <c r="V19" s="81"/>
      <c r="W19" s="81"/>
      <c r="X19" s="81"/>
      <c r="Y19" s="81"/>
      <c r="Z19" s="81"/>
    </row>
    <row r="20" spans="1:26" ht="16">
      <c r="A20" s="100" t="s">
        <v>101</v>
      </c>
      <c r="B20" s="33">
        <f t="shared" si="2"/>
        <v>0</v>
      </c>
      <c r="C20" s="33">
        <f>-'FE Finance Assumptions'!C51</f>
        <v>-32227.934602906829</v>
      </c>
      <c r="D20" s="33">
        <f>-'FE Finance Assumptions'!D51</f>
        <v>-95477.766302219476</v>
      </c>
      <c r="E20" s="33">
        <f>-'FE Finance Assumptions'!E51</f>
        <v>-339497.93063850881</v>
      </c>
      <c r="F20" s="33">
        <f>-'FE Finance Assumptions'!F51</f>
        <v>-474474.88019773172</v>
      </c>
      <c r="G20" s="33">
        <f>-'FE Finance Assumptions'!G51</f>
        <v>-671041.72764325922</v>
      </c>
      <c r="H20" s="100"/>
      <c r="I20" s="77"/>
      <c r="J20" s="77"/>
      <c r="K20" s="104"/>
      <c r="L20" s="87"/>
      <c r="M20" s="87"/>
      <c r="N20" s="87"/>
      <c r="O20" s="87"/>
      <c r="P20" s="81"/>
      <c r="Q20" s="81"/>
      <c r="R20" s="81"/>
      <c r="S20" s="81"/>
      <c r="T20" s="81"/>
      <c r="U20" s="81"/>
      <c r="V20" s="81"/>
      <c r="W20" s="81"/>
      <c r="X20" s="81"/>
      <c r="Y20" s="81"/>
      <c r="Z20" s="81"/>
    </row>
    <row r="21" spans="1:26" ht="16">
      <c r="A21" s="23" t="s">
        <v>102</v>
      </c>
      <c r="B21" s="33">
        <f t="shared" si="2"/>
        <v>0</v>
      </c>
      <c r="C21" s="33">
        <f>-'OM Depreciation'!C31</f>
        <v>-74409.98533333333</v>
      </c>
      <c r="D21" s="33">
        <f>-'OM Depreciation'!D31</f>
        <v>-74409.98533333333</v>
      </c>
      <c r="E21" s="33">
        <f>-'OM Depreciation'!E31</f>
        <v>-74409.98533333333</v>
      </c>
      <c r="F21" s="33">
        <f>-'OM Depreciation'!F31</f>
        <v>-71576.652000000002</v>
      </c>
      <c r="G21" s="33">
        <f>-'OM Depreciation'!G31</f>
        <v>-71576.652000000002</v>
      </c>
      <c r="H21" s="23"/>
      <c r="I21" s="44"/>
      <c r="J21" s="44"/>
      <c r="K21" s="44"/>
      <c r="L21" s="44"/>
      <c r="M21" s="44"/>
      <c r="N21" s="87"/>
      <c r="O21" s="87"/>
      <c r="P21" s="81"/>
      <c r="Q21" s="81"/>
      <c r="R21" s="81"/>
      <c r="S21" s="81"/>
      <c r="T21" s="81"/>
      <c r="U21" s="81"/>
      <c r="V21" s="81"/>
      <c r="W21" s="81"/>
      <c r="X21" s="81"/>
      <c r="Y21" s="81"/>
      <c r="Z21" s="81"/>
    </row>
    <row r="22" spans="1:26" ht="16">
      <c r="A22" s="23" t="s">
        <v>103</v>
      </c>
      <c r="B22" s="33">
        <f t="shared" si="2"/>
        <v>0</v>
      </c>
      <c r="C22" s="33">
        <f t="shared" ref="C22:D22" si="3">0</f>
        <v>0</v>
      </c>
      <c r="D22" s="33">
        <f t="shared" si="3"/>
        <v>0</v>
      </c>
      <c r="E22" s="33">
        <f>'OM Depreciation'!E45</f>
        <v>0</v>
      </c>
      <c r="F22" s="33">
        <f>-'OM Depreciation'!F45</f>
        <v>-6034.78</v>
      </c>
      <c r="G22" s="33">
        <f>-'OM Depreciation'!G45</f>
        <v>-6034.78</v>
      </c>
      <c r="H22" s="23"/>
      <c r="I22" s="77"/>
      <c r="J22" s="77"/>
      <c r="K22" s="87"/>
      <c r="L22" s="87"/>
      <c r="M22" s="87"/>
      <c r="N22" s="87"/>
      <c r="O22" s="87"/>
      <c r="P22" s="81"/>
      <c r="Q22" s="81"/>
      <c r="R22" s="81"/>
      <c r="S22" s="81"/>
      <c r="T22" s="81"/>
      <c r="U22" s="81"/>
      <c r="V22" s="81"/>
      <c r="W22" s="81"/>
      <c r="X22" s="81"/>
      <c r="Y22" s="81"/>
      <c r="Z22" s="81"/>
    </row>
    <row r="23" spans="1:26" ht="16">
      <c r="A23" s="105" t="s">
        <v>104</v>
      </c>
      <c r="B23" s="33">
        <f t="shared" ref="B23:G23" si="4">SUM(B14:B22)</f>
        <v>-737502.60910493333</v>
      </c>
      <c r="C23" s="33">
        <f t="shared" si="4"/>
        <v>197713.77506596112</v>
      </c>
      <c r="D23" s="33">
        <f t="shared" si="4"/>
        <v>636125.89642088371</v>
      </c>
      <c r="E23" s="33">
        <f t="shared" si="4"/>
        <v>2875747.9044377385</v>
      </c>
      <c r="F23" s="33">
        <f t="shared" si="4"/>
        <v>3634541.3518661917</v>
      </c>
      <c r="G23" s="33">
        <f t="shared" si="4"/>
        <v>4886296.6249814061</v>
      </c>
      <c r="H23" s="106"/>
      <c r="I23" s="10"/>
      <c r="J23" s="10"/>
      <c r="K23" s="10"/>
      <c r="L23" s="10"/>
      <c r="M23" s="10"/>
      <c r="N23" s="87"/>
      <c r="O23" s="87"/>
      <c r="P23" s="81"/>
      <c r="Q23" s="81"/>
      <c r="R23" s="81"/>
      <c r="S23" s="81"/>
      <c r="T23" s="81"/>
      <c r="U23" s="81"/>
      <c r="V23" s="81"/>
      <c r="W23" s="81"/>
      <c r="X23" s="81"/>
      <c r="Y23" s="81"/>
      <c r="Z23" s="81"/>
    </row>
    <row r="24" spans="1:26" ht="16">
      <c r="A24" s="107" t="s">
        <v>105</v>
      </c>
      <c r="B24" s="90">
        <v>0</v>
      </c>
      <c r="C24" s="90">
        <f>C23*'FE Finance Assumptions'!B64</f>
        <v>53382.719267809509</v>
      </c>
      <c r="D24" s="108">
        <f>'FE Finance Assumptions'!$B$64*D23</f>
        <v>171753.99203363861</v>
      </c>
      <c r="E24" s="108">
        <f>'FE Finance Assumptions'!$B$64*E23</f>
        <v>776451.93419818941</v>
      </c>
      <c r="F24" s="108">
        <f>'FE Finance Assumptions'!$B$64*F23</f>
        <v>981326.16500387178</v>
      </c>
      <c r="G24" s="108">
        <f>'FE Finance Assumptions'!$B$64*G23</f>
        <v>1319300.0887449798</v>
      </c>
      <c r="H24" s="23"/>
      <c r="I24" s="77"/>
      <c r="J24" s="77"/>
      <c r="K24" s="87"/>
      <c r="L24" s="87"/>
      <c r="M24" s="87"/>
      <c r="N24" s="87"/>
      <c r="O24" s="87"/>
      <c r="P24" s="81"/>
      <c r="Q24" s="81"/>
      <c r="R24" s="81"/>
      <c r="S24" s="81"/>
      <c r="T24" s="81"/>
      <c r="U24" s="81"/>
      <c r="V24" s="81"/>
      <c r="W24" s="81"/>
      <c r="X24" s="81"/>
      <c r="Y24" s="81"/>
      <c r="Z24" s="81"/>
    </row>
    <row r="25" spans="1:26" ht="16">
      <c r="A25" s="105" t="s">
        <v>106</v>
      </c>
      <c r="B25" s="97">
        <f t="shared" ref="B25:G25" si="5">B23-B24</f>
        <v>-737502.60910493333</v>
      </c>
      <c r="C25" s="97">
        <f t="shared" si="5"/>
        <v>144331.05579815162</v>
      </c>
      <c r="D25" s="97">
        <f t="shared" si="5"/>
        <v>464371.90438724507</v>
      </c>
      <c r="E25" s="97">
        <f t="shared" si="5"/>
        <v>2099295.9702395489</v>
      </c>
      <c r="F25" s="97">
        <f t="shared" si="5"/>
        <v>2653215.1868623197</v>
      </c>
      <c r="G25" s="97">
        <f t="shared" si="5"/>
        <v>3566996.5362364263</v>
      </c>
      <c r="H25" s="109"/>
      <c r="I25" s="77"/>
      <c r="J25" s="77"/>
      <c r="K25" s="81"/>
      <c r="L25" s="81"/>
      <c r="M25" s="81"/>
      <c r="N25" s="81"/>
      <c r="O25" s="81"/>
      <c r="P25" s="81"/>
      <c r="Q25" s="81"/>
      <c r="R25" s="81"/>
      <c r="S25" s="81"/>
      <c r="T25" s="81"/>
      <c r="U25" s="81"/>
      <c r="V25" s="81"/>
      <c r="W25" s="81"/>
      <c r="X25" s="81"/>
      <c r="Y25" s="81"/>
      <c r="Z25" s="81"/>
    </row>
    <row r="26" spans="1:26" ht="16">
      <c r="A26" s="23"/>
      <c r="B26" s="33"/>
      <c r="C26" s="33"/>
      <c r="D26" s="33"/>
      <c r="E26" s="33"/>
      <c r="F26" s="33"/>
      <c r="G26" s="33"/>
      <c r="H26" s="23"/>
      <c r="I26" s="77"/>
      <c r="J26" s="77"/>
      <c r="K26" s="81"/>
      <c r="L26" s="81"/>
      <c r="M26" s="81"/>
      <c r="N26" s="81"/>
      <c r="O26" s="81"/>
      <c r="P26" s="81"/>
      <c r="Q26" s="81"/>
      <c r="R26" s="81"/>
      <c r="S26" s="81"/>
      <c r="T26" s="81"/>
      <c r="U26" s="81"/>
      <c r="V26" s="81"/>
      <c r="W26" s="81"/>
      <c r="X26" s="81"/>
      <c r="Y26" s="81"/>
      <c r="Z26" s="81"/>
    </row>
    <row r="27" spans="1:26" ht="16">
      <c r="A27" s="24" t="s">
        <v>107</v>
      </c>
      <c r="B27" s="33"/>
      <c r="C27" s="33"/>
      <c r="D27" s="33"/>
      <c r="E27" s="33"/>
      <c r="F27" s="33"/>
      <c r="G27" s="33"/>
      <c r="H27" s="23"/>
      <c r="I27" s="77"/>
      <c r="J27" s="77"/>
      <c r="K27" s="81"/>
      <c r="L27" s="81"/>
      <c r="M27" s="81"/>
      <c r="N27" s="81"/>
      <c r="O27" s="81"/>
      <c r="P27" s="81"/>
      <c r="Q27" s="81"/>
      <c r="R27" s="81"/>
      <c r="S27" s="81"/>
      <c r="T27" s="81"/>
      <c r="U27" s="81"/>
      <c r="V27" s="81"/>
      <c r="W27" s="81"/>
      <c r="X27" s="81"/>
      <c r="Y27" s="81"/>
      <c r="Z27" s="81"/>
    </row>
    <row r="28" spans="1:26" ht="16">
      <c r="A28" s="12" t="s">
        <v>108</v>
      </c>
      <c r="B28" s="97">
        <v>0</v>
      </c>
      <c r="C28" s="33">
        <f t="shared" ref="C28:G28" si="6">B31</f>
        <v>-737502.60910493333</v>
      </c>
      <c r="D28" s="33">
        <f t="shared" si="6"/>
        <v>-593171.55330678169</v>
      </c>
      <c r="E28" s="33">
        <f t="shared" si="6"/>
        <v>-485268.89406802563</v>
      </c>
      <c r="F28" s="33">
        <f t="shared" si="6"/>
        <v>185961.57396379905</v>
      </c>
      <c r="G28" s="33">
        <f t="shared" si="6"/>
        <v>385984.33031111117</v>
      </c>
      <c r="H28" s="23"/>
      <c r="I28" s="77"/>
      <c r="J28" s="77"/>
      <c r="K28" s="112"/>
      <c r="L28" s="81"/>
      <c r="M28" s="81"/>
      <c r="N28" s="81"/>
      <c r="O28" s="81"/>
      <c r="P28" s="81"/>
      <c r="Q28" s="81"/>
      <c r="R28" s="81"/>
      <c r="S28" s="81"/>
      <c r="T28" s="81"/>
      <c r="U28" s="81"/>
      <c r="V28" s="81"/>
      <c r="W28" s="81"/>
      <c r="X28" s="81"/>
      <c r="Y28" s="81"/>
      <c r="Z28" s="81"/>
    </row>
    <row r="29" spans="1:26" ht="16">
      <c r="A29" s="23" t="s">
        <v>109</v>
      </c>
      <c r="B29" s="33">
        <f t="shared" ref="B29:G29" si="7">B25</f>
        <v>-737502.60910493333</v>
      </c>
      <c r="C29" s="33">
        <f t="shared" si="7"/>
        <v>144331.05579815162</v>
      </c>
      <c r="D29" s="33">
        <f t="shared" si="7"/>
        <v>464371.90438724507</v>
      </c>
      <c r="E29" s="33">
        <f t="shared" si="7"/>
        <v>2099295.9702395489</v>
      </c>
      <c r="F29" s="33">
        <f t="shared" si="7"/>
        <v>2653215.1868623197</v>
      </c>
      <c r="G29" s="33">
        <f t="shared" si="7"/>
        <v>3566996.5362364263</v>
      </c>
      <c r="H29" s="23"/>
      <c r="I29" s="77"/>
      <c r="J29" s="77"/>
      <c r="K29" s="92"/>
      <c r="L29" s="81"/>
      <c r="M29" s="81"/>
      <c r="N29" s="81"/>
      <c r="O29" s="81"/>
      <c r="P29" s="81"/>
      <c r="Q29" s="81"/>
      <c r="R29" s="113"/>
      <c r="S29" s="113"/>
      <c r="T29" s="113"/>
      <c r="U29" s="113"/>
      <c r="V29" s="113"/>
      <c r="X29" s="81"/>
      <c r="Y29" s="81"/>
      <c r="Z29" s="81"/>
    </row>
    <row r="30" spans="1:26" ht="16">
      <c r="A30" s="110" t="s">
        <v>110</v>
      </c>
      <c r="B30" s="33">
        <f>IF('FE Cash Flow'!B14&gt;0,-'FE Cash Flow'!B14,0)</f>
        <v>0</v>
      </c>
      <c r="C30" s="33">
        <f>IF('FE Cash Flow'!C14&gt;0,-'FE Cash Flow'!C14,0)</f>
        <v>0</v>
      </c>
      <c r="D30" s="33">
        <f>IF('FE Cash Flow'!D14&gt;0,-'FE Cash Flow'!D14,0)</f>
        <v>-356469.24514848902</v>
      </c>
      <c r="E30" s="33">
        <f>IF('FE Cash Flow'!E14&gt;0,-'FE Cash Flow'!E14,0)</f>
        <v>-1428065.5022077244</v>
      </c>
      <c r="F30" s="33">
        <f>IF('FE Cash Flow'!F14&gt;0,-'FE Cash Flow'!F14,0)</f>
        <v>-2453192.4305150076</v>
      </c>
      <c r="G30" s="33">
        <f>IF('FE Cash Flow'!G14&gt;0,-'FE Cash Flow'!G14,0)</f>
        <v>-3254579.3221681397</v>
      </c>
      <c r="H30" s="111"/>
      <c r="I30" s="77"/>
      <c r="J30" s="77"/>
      <c r="K30" s="81"/>
      <c r="L30" s="81"/>
      <c r="M30" s="81"/>
      <c r="N30" s="81"/>
      <c r="O30" s="81"/>
      <c r="P30" s="81"/>
      <c r="Q30" s="81"/>
      <c r="R30" s="113"/>
      <c r="S30" s="113"/>
      <c r="T30" s="113"/>
      <c r="U30" s="113"/>
      <c r="V30" s="113"/>
      <c r="X30" s="81"/>
      <c r="Y30" s="81"/>
      <c r="Z30" s="81"/>
    </row>
    <row r="31" spans="1:26" ht="16">
      <c r="A31" s="23" t="s">
        <v>111</v>
      </c>
      <c r="B31" s="33">
        <f>SUM(B29:B30)</f>
        <v>-737502.60910493333</v>
      </c>
      <c r="C31" s="33">
        <f t="shared" ref="C31:G31" si="8">SUM(C28:C30)</f>
        <v>-593171.55330678169</v>
      </c>
      <c r="D31" s="33">
        <f t="shared" si="8"/>
        <v>-485268.89406802563</v>
      </c>
      <c r="E31" s="33">
        <f t="shared" si="8"/>
        <v>185961.57396379905</v>
      </c>
      <c r="F31" s="33">
        <f t="shared" si="8"/>
        <v>385984.33031111117</v>
      </c>
      <c r="G31" s="33">
        <f t="shared" si="8"/>
        <v>698401.54437939776</v>
      </c>
      <c r="H31" s="23"/>
      <c r="I31" s="77"/>
      <c r="J31" s="77"/>
      <c r="K31" s="81"/>
      <c r="L31" s="81"/>
      <c r="M31" s="81"/>
      <c r="N31" s="81"/>
      <c r="O31" s="81"/>
      <c r="P31" s="81"/>
      <c r="Q31" s="81"/>
      <c r="R31" s="113"/>
      <c r="S31" s="113"/>
      <c r="T31" s="113"/>
      <c r="U31" s="113"/>
      <c r="V31" s="113"/>
      <c r="X31" s="81"/>
      <c r="Y31" s="81"/>
      <c r="Z31" s="81"/>
    </row>
    <row r="32" spans="1:26" ht="16">
      <c r="A32" s="23"/>
      <c r="B32" s="23"/>
      <c r="C32" s="23"/>
      <c r="D32" s="23"/>
      <c r="E32" s="23"/>
      <c r="F32" s="23"/>
      <c r="G32" s="23"/>
      <c r="H32" s="23"/>
      <c r="I32" s="77"/>
      <c r="J32" s="77"/>
      <c r="K32" s="81"/>
      <c r="L32" s="81"/>
      <c r="M32" s="81"/>
      <c r="N32" s="81"/>
      <c r="O32" s="81"/>
      <c r="P32" s="81"/>
      <c r="Q32" s="81"/>
      <c r="R32" s="113"/>
      <c r="S32" s="113"/>
      <c r="T32" s="113"/>
      <c r="U32" s="113"/>
      <c r="V32" s="113"/>
      <c r="X32" s="81"/>
      <c r="Y32" s="81"/>
      <c r="Z32" s="81"/>
    </row>
    <row r="33" spans="1:26" ht="16">
      <c r="A33" s="24" t="s">
        <v>112</v>
      </c>
      <c r="B33" s="23"/>
      <c r="C33" s="23"/>
      <c r="D33" s="23"/>
      <c r="E33" s="23"/>
      <c r="F33" s="23"/>
      <c r="G33" s="23"/>
      <c r="H33" s="23"/>
      <c r="I33" s="77"/>
      <c r="J33" s="77"/>
      <c r="K33" s="81"/>
      <c r="L33" s="81"/>
      <c r="M33" s="81"/>
      <c r="N33" s="81"/>
      <c r="O33" s="81"/>
      <c r="P33" s="81"/>
      <c r="Q33" s="81"/>
      <c r="R33" s="113"/>
      <c r="S33" s="113"/>
      <c r="T33" s="113"/>
      <c r="U33" s="113"/>
      <c r="V33" s="113"/>
      <c r="X33" s="81"/>
      <c r="Y33" s="81"/>
      <c r="Z33" s="81"/>
    </row>
    <row r="34" spans="1:26" ht="16">
      <c r="A34" s="23" t="s">
        <v>113</v>
      </c>
      <c r="B34" s="114"/>
      <c r="C34" s="114">
        <f t="shared" ref="C34:G34" si="9">-C13/C9</f>
        <v>0.52184084135952491</v>
      </c>
      <c r="D34" s="114">
        <f t="shared" si="9"/>
        <v>0.50588311701013944</v>
      </c>
      <c r="E34" s="114">
        <f t="shared" si="9"/>
        <v>0.39368679845220084</v>
      </c>
      <c r="F34" s="114">
        <f t="shared" si="9"/>
        <v>0.39128644551575881</v>
      </c>
      <c r="G34" s="114">
        <f t="shared" si="9"/>
        <v>0.37491188554470628</v>
      </c>
      <c r="H34" s="23"/>
      <c r="I34" s="77"/>
      <c r="J34" s="77"/>
      <c r="K34" s="81"/>
      <c r="L34" s="81"/>
      <c r="M34" s="81"/>
      <c r="N34" s="81"/>
      <c r="O34" s="81"/>
      <c r="P34" s="81"/>
      <c r="Q34" s="81"/>
      <c r="R34" s="81"/>
      <c r="S34" s="81"/>
      <c r="T34" s="81"/>
      <c r="U34" s="81"/>
      <c r="V34" s="81"/>
      <c r="W34" s="81"/>
      <c r="X34" s="81"/>
      <c r="Y34" s="81"/>
      <c r="Z34" s="81"/>
    </row>
    <row r="35" spans="1:26" ht="16">
      <c r="A35" s="23" t="s">
        <v>114</v>
      </c>
      <c r="B35" s="114"/>
      <c r="C35" s="114">
        <f t="shared" ref="C35:G35" si="10">C14/C9</f>
        <v>0.47815915864047509</v>
      </c>
      <c r="D35" s="114">
        <f t="shared" si="10"/>
        <v>0.49411688298986062</v>
      </c>
      <c r="E35" s="114">
        <f t="shared" si="10"/>
        <v>0.60631320154779911</v>
      </c>
      <c r="F35" s="114">
        <f t="shared" si="10"/>
        <v>0.60871355448424125</v>
      </c>
      <c r="G35" s="114">
        <f t="shared" si="10"/>
        <v>0.62508811445529378</v>
      </c>
      <c r="H35" s="23"/>
      <c r="I35" s="77"/>
      <c r="J35" s="77"/>
      <c r="K35" s="81"/>
      <c r="L35" s="81"/>
      <c r="M35" s="81"/>
      <c r="N35" s="81"/>
      <c r="O35" s="81"/>
      <c r="P35" s="81"/>
      <c r="Q35" s="81"/>
      <c r="R35" s="81"/>
      <c r="S35" s="81"/>
      <c r="T35" s="81"/>
      <c r="U35" s="81"/>
      <c r="V35" s="81"/>
      <c r="W35" s="81"/>
      <c r="X35" s="81"/>
      <c r="Y35" s="81"/>
      <c r="Z35" s="81"/>
    </row>
    <row r="36" spans="1:26" ht="16">
      <c r="A36" s="23" t="s">
        <v>115</v>
      </c>
      <c r="B36" s="114"/>
      <c r="C36" s="114">
        <f t="shared" ref="C36:G36" si="11">C25/C9</f>
        <v>6.6836773073638764E-2</v>
      </c>
      <c r="D36" s="114">
        <f t="shared" si="11"/>
        <v>0.14864502926717957</v>
      </c>
      <c r="E36" s="114">
        <f t="shared" si="11"/>
        <v>0.28336539862293231</v>
      </c>
      <c r="F36" s="114">
        <f t="shared" si="11"/>
        <v>0.29944795933323859</v>
      </c>
      <c r="G36" s="114">
        <f t="shared" si="11"/>
        <v>0.32418235206886109</v>
      </c>
      <c r="H36" s="23"/>
      <c r="I36" s="77"/>
      <c r="J36" s="77"/>
      <c r="K36" s="81"/>
      <c r="L36" s="81"/>
      <c r="M36" s="81"/>
      <c r="N36" s="81"/>
      <c r="O36" s="81"/>
      <c r="P36" s="81"/>
      <c r="Q36" s="81"/>
      <c r="R36" s="81"/>
      <c r="S36" s="81"/>
      <c r="T36" s="81"/>
      <c r="U36" s="81"/>
      <c r="V36" s="81"/>
      <c r="W36" s="81"/>
      <c r="X36" s="81"/>
      <c r="Y36" s="81"/>
      <c r="Z36" s="81"/>
    </row>
    <row r="37" spans="1:26" ht="16">
      <c r="A37" s="23" t="s">
        <v>116</v>
      </c>
      <c r="B37" s="114"/>
      <c r="C37" s="114">
        <f t="shared" ref="C37:G37" si="12">-(C16+C17+C18)/C9</f>
        <v>0.25721851109589283</v>
      </c>
      <c r="D37" s="114">
        <f t="shared" si="12"/>
        <v>0.18177205184731188</v>
      </c>
      <c r="E37" s="114">
        <f t="shared" si="12"/>
        <v>0.1176271551260429</v>
      </c>
      <c r="F37" s="114">
        <f t="shared" si="12"/>
        <v>9.8540460619044659E-2</v>
      </c>
      <c r="G37" s="114">
        <f t="shared" si="12"/>
        <v>8.1262478698383808E-2</v>
      </c>
      <c r="H37" s="13"/>
      <c r="I37" s="77"/>
      <c r="J37" s="77"/>
      <c r="K37" s="81"/>
      <c r="L37" s="81"/>
      <c r="M37" s="81"/>
      <c r="N37" s="81"/>
      <c r="O37" s="81"/>
      <c r="P37" s="81"/>
      <c r="R37" s="81"/>
      <c r="S37" s="81"/>
      <c r="T37" s="81"/>
      <c r="U37" s="81"/>
      <c r="V37" s="81"/>
      <c r="W37" s="81"/>
      <c r="X37" s="81"/>
      <c r="Y37" s="81"/>
      <c r="Z37" s="81"/>
    </row>
    <row r="38" spans="1:26" ht="16">
      <c r="A38" s="23" t="s">
        <v>117</v>
      </c>
      <c r="B38" s="114"/>
      <c r="C38" s="114">
        <f t="shared" ref="C38:G38" si="13">-C19/C9</f>
        <v>8.0001574793061872E-2</v>
      </c>
      <c r="D38" s="114">
        <f t="shared" si="13"/>
        <v>5.4340586757461402E-2</v>
      </c>
      <c r="E38" s="114">
        <f t="shared" si="13"/>
        <v>4.4644498161059691E-2</v>
      </c>
      <c r="F38" s="114">
        <f t="shared" si="13"/>
        <v>3.7660680737251845E-2</v>
      </c>
      <c r="G38" s="114">
        <f t="shared" si="13"/>
        <v>3.1699745974866612E-2</v>
      </c>
      <c r="H38" s="23"/>
      <c r="I38" s="77"/>
      <c r="J38" s="77"/>
      <c r="K38" s="81"/>
      <c r="L38" s="81"/>
      <c r="M38" s="81"/>
      <c r="N38" s="81"/>
      <c r="O38" s="81"/>
      <c r="P38" s="81"/>
      <c r="Q38" s="81"/>
      <c r="R38" s="81"/>
      <c r="S38" s="81"/>
      <c r="T38" s="81"/>
      <c r="U38" s="81"/>
      <c r="V38" s="81"/>
      <c r="W38" s="81"/>
      <c r="X38" s="81"/>
      <c r="Y38" s="81"/>
      <c r="Z38" s="81"/>
    </row>
    <row r="39" spans="1:26" ht="16">
      <c r="A39" s="23"/>
      <c r="B39" s="115"/>
      <c r="C39" s="115"/>
      <c r="D39" s="115"/>
      <c r="E39" s="115"/>
      <c r="F39" s="115"/>
      <c r="G39" s="115"/>
      <c r="H39" s="23"/>
      <c r="I39" s="77"/>
      <c r="J39" s="77"/>
      <c r="K39" s="81"/>
      <c r="L39" s="81"/>
      <c r="M39" s="81"/>
      <c r="N39" s="81"/>
      <c r="O39" s="81"/>
      <c r="P39" s="81"/>
      <c r="Q39" s="81"/>
      <c r="R39" s="81"/>
      <c r="S39" s="81"/>
      <c r="T39" s="81"/>
      <c r="U39" s="81"/>
      <c r="V39" s="81"/>
      <c r="W39" s="81"/>
      <c r="X39" s="81"/>
      <c r="Y39" s="81"/>
      <c r="Z39" s="81"/>
    </row>
    <row r="40" spans="1:26" ht="16">
      <c r="A40" s="24"/>
      <c r="B40" s="115"/>
      <c r="C40" s="115"/>
      <c r="D40" s="115"/>
      <c r="E40" s="115"/>
      <c r="F40" s="115"/>
      <c r="G40" s="115"/>
      <c r="H40" s="23"/>
      <c r="I40" s="77"/>
      <c r="J40" s="77"/>
      <c r="K40" s="81"/>
      <c r="L40" s="81"/>
      <c r="M40" s="81"/>
      <c r="N40" s="81"/>
      <c r="O40" s="81"/>
      <c r="P40" s="81"/>
      <c r="Q40" s="81"/>
      <c r="R40" s="81"/>
      <c r="S40" s="81"/>
      <c r="T40" s="81"/>
      <c r="U40" s="81"/>
      <c r="V40" s="81"/>
      <c r="W40" s="81"/>
      <c r="X40" s="81"/>
      <c r="Y40" s="81"/>
      <c r="Z40" s="81"/>
    </row>
    <row r="41" spans="1:26" ht="16">
      <c r="A41" s="23"/>
      <c r="B41" s="115"/>
      <c r="C41" s="115"/>
      <c r="D41" s="115"/>
      <c r="E41" s="115"/>
      <c r="F41" s="115"/>
      <c r="G41" s="115"/>
      <c r="H41" s="23"/>
      <c r="I41" s="77"/>
      <c r="J41" s="77"/>
      <c r="K41" s="81"/>
      <c r="L41" s="81"/>
      <c r="M41" s="81"/>
      <c r="N41" s="81"/>
      <c r="O41" s="81"/>
      <c r="P41" s="81"/>
      <c r="Q41" s="81"/>
      <c r="R41" s="81"/>
      <c r="S41" s="81"/>
      <c r="T41" s="81"/>
      <c r="U41" s="81"/>
      <c r="V41" s="81"/>
      <c r="W41" s="81"/>
      <c r="X41" s="81"/>
      <c r="Y41" s="81"/>
      <c r="Z41" s="81"/>
    </row>
    <row r="42" spans="1:26" ht="16">
      <c r="A42" s="23"/>
      <c r="B42" s="115"/>
      <c r="C42" s="115"/>
      <c r="D42" s="115"/>
      <c r="E42" s="115"/>
      <c r="F42" s="115"/>
      <c r="G42" s="115"/>
      <c r="H42" s="23"/>
      <c r="I42" s="77"/>
      <c r="J42" s="77"/>
      <c r="K42" s="81"/>
      <c r="L42" s="81"/>
      <c r="M42" s="81"/>
      <c r="N42" s="81"/>
      <c r="O42" s="81"/>
      <c r="P42" s="81"/>
      <c r="Q42" s="81"/>
      <c r="R42" s="81"/>
      <c r="S42" s="81"/>
      <c r="T42" s="81"/>
      <c r="U42" s="81"/>
      <c r="V42" s="81"/>
      <c r="W42" s="81"/>
      <c r="X42" s="81"/>
      <c r="Y42" s="81"/>
      <c r="Z42" s="81"/>
    </row>
    <row r="43" spans="1:26" ht="16">
      <c r="A43" s="23"/>
      <c r="B43" s="115"/>
      <c r="C43" s="115"/>
      <c r="D43" s="115"/>
      <c r="E43" s="115"/>
      <c r="F43" s="115"/>
      <c r="G43" s="115"/>
      <c r="H43" s="23"/>
      <c r="I43" s="77"/>
      <c r="J43" s="77"/>
      <c r="K43" s="81"/>
      <c r="L43" s="81"/>
      <c r="M43" s="81"/>
      <c r="N43" s="81"/>
      <c r="O43" s="81"/>
      <c r="P43" s="81"/>
      <c r="Q43" s="81"/>
      <c r="R43" s="81"/>
      <c r="S43" s="81"/>
      <c r="T43" s="81"/>
      <c r="U43" s="81"/>
      <c r="V43" s="81"/>
      <c r="W43" s="81"/>
      <c r="X43" s="81"/>
      <c r="Y43" s="81"/>
      <c r="Z43" s="81"/>
    </row>
    <row r="44" spans="1:26" ht="16">
      <c r="A44" s="23"/>
      <c r="B44" s="115"/>
      <c r="C44" s="115"/>
      <c r="D44" s="115"/>
      <c r="E44" s="115"/>
      <c r="F44" s="115"/>
      <c r="G44" s="115"/>
      <c r="H44" s="23"/>
      <c r="I44" s="77"/>
      <c r="J44" s="77"/>
      <c r="K44" s="81"/>
      <c r="L44" s="81"/>
      <c r="M44" s="81"/>
      <c r="N44" s="81"/>
      <c r="O44" s="81"/>
      <c r="P44" s="81"/>
      <c r="Q44" s="81"/>
      <c r="R44" s="81"/>
      <c r="S44" s="81"/>
      <c r="T44" s="81"/>
      <c r="U44" s="81"/>
      <c r="V44" s="81"/>
      <c r="W44" s="81"/>
      <c r="X44" s="81"/>
      <c r="Y44" s="81"/>
      <c r="Z44" s="81"/>
    </row>
    <row r="45" spans="1:26" ht="16">
      <c r="A45" s="23"/>
      <c r="B45" s="115"/>
      <c r="C45" s="115"/>
      <c r="D45" s="115"/>
      <c r="E45" s="115"/>
      <c r="F45" s="115"/>
      <c r="G45" s="115"/>
      <c r="H45" s="23"/>
      <c r="I45" s="77"/>
      <c r="J45" s="77"/>
      <c r="K45" s="81"/>
      <c r="L45" s="81"/>
      <c r="M45" s="81"/>
      <c r="N45" s="81"/>
      <c r="O45" s="81"/>
      <c r="P45" s="81"/>
      <c r="Q45" s="81"/>
      <c r="R45" s="81"/>
      <c r="S45" s="81"/>
      <c r="T45" s="81"/>
      <c r="U45" s="81"/>
      <c r="V45" s="81"/>
      <c r="W45" s="81"/>
      <c r="X45" s="81"/>
      <c r="Y45" s="81"/>
      <c r="Z45" s="81"/>
    </row>
    <row r="46" spans="1:26" ht="16">
      <c r="A46" s="23"/>
      <c r="B46" s="115"/>
      <c r="C46" s="115"/>
      <c r="D46" s="115"/>
      <c r="E46" s="115"/>
      <c r="F46" s="115"/>
      <c r="G46" s="115"/>
      <c r="H46" s="23"/>
      <c r="I46" s="77"/>
      <c r="J46" s="77"/>
      <c r="K46" s="81"/>
      <c r="L46" s="81"/>
      <c r="M46" s="81"/>
      <c r="N46" s="81"/>
      <c r="O46" s="81"/>
      <c r="P46" s="81"/>
      <c r="Q46" s="81"/>
      <c r="R46" s="81"/>
      <c r="S46" s="81"/>
      <c r="T46" s="81"/>
      <c r="U46" s="81"/>
      <c r="V46" s="81"/>
      <c r="W46" s="81"/>
      <c r="X46" s="81"/>
      <c r="Y46" s="81"/>
      <c r="Z46" s="81"/>
    </row>
    <row r="47" spans="1:26" ht="16">
      <c r="A47" s="23"/>
      <c r="B47" s="115"/>
      <c r="C47" s="115"/>
      <c r="D47" s="115"/>
      <c r="E47" s="115"/>
      <c r="F47" s="115"/>
      <c r="G47" s="115"/>
      <c r="H47" s="23"/>
      <c r="I47" s="77"/>
      <c r="J47" s="77"/>
      <c r="K47" s="81"/>
      <c r="L47" s="81"/>
      <c r="M47" s="81"/>
      <c r="N47" s="81"/>
      <c r="O47" s="81"/>
      <c r="P47" s="81"/>
      <c r="Q47" s="81"/>
      <c r="R47" s="81"/>
      <c r="S47" s="81"/>
      <c r="T47" s="81"/>
      <c r="U47" s="81"/>
      <c r="V47" s="81"/>
      <c r="W47" s="81"/>
      <c r="X47" s="81"/>
      <c r="Y47" s="81"/>
      <c r="Z47" s="81"/>
    </row>
    <row r="48" spans="1:26" ht="16">
      <c r="A48" s="23"/>
      <c r="B48" s="115"/>
      <c r="C48" s="115"/>
      <c r="D48" s="115"/>
      <c r="E48" s="115"/>
      <c r="F48" s="115"/>
      <c r="G48" s="115"/>
      <c r="H48" s="23"/>
      <c r="I48" s="77"/>
      <c r="J48" s="77"/>
      <c r="K48" s="81"/>
      <c r="L48" s="81"/>
      <c r="M48" s="81"/>
      <c r="N48" s="81"/>
      <c r="O48" s="81"/>
      <c r="P48" s="81"/>
      <c r="Q48" s="81"/>
      <c r="R48" s="81"/>
      <c r="S48" s="81"/>
      <c r="T48" s="81"/>
      <c r="U48" s="81"/>
      <c r="V48" s="81"/>
      <c r="W48" s="81"/>
      <c r="X48" s="81"/>
      <c r="Y48" s="81"/>
      <c r="Z48" s="81"/>
    </row>
    <row r="49" spans="1:26" ht="16">
      <c r="A49" s="24"/>
      <c r="B49" s="115"/>
      <c r="C49" s="115"/>
      <c r="D49" s="115"/>
      <c r="E49" s="115"/>
      <c r="F49" s="115"/>
      <c r="G49" s="115"/>
      <c r="H49" s="23"/>
      <c r="I49" s="77"/>
      <c r="J49" s="77"/>
      <c r="K49" s="81"/>
      <c r="L49" s="81"/>
      <c r="M49" s="81"/>
      <c r="N49" s="81"/>
      <c r="O49" s="81"/>
      <c r="P49" s="81"/>
      <c r="Q49" s="81"/>
      <c r="R49" s="81"/>
      <c r="S49" s="81"/>
      <c r="T49" s="81"/>
      <c r="U49" s="81"/>
      <c r="V49" s="81"/>
      <c r="W49" s="81"/>
      <c r="X49" s="81"/>
      <c r="Y49" s="81"/>
      <c r="Z49" s="81"/>
    </row>
    <row r="50" spans="1:26" ht="16">
      <c r="A50" s="23"/>
      <c r="B50" s="115"/>
      <c r="C50" s="115"/>
      <c r="D50" s="115"/>
      <c r="E50" s="115"/>
      <c r="F50" s="115"/>
      <c r="G50" s="115"/>
      <c r="H50" s="23"/>
      <c r="I50" s="77"/>
      <c r="J50" s="77"/>
      <c r="K50" s="81"/>
      <c r="L50" s="81"/>
      <c r="M50" s="81"/>
      <c r="N50" s="81"/>
      <c r="O50" s="81"/>
      <c r="P50" s="81"/>
      <c r="Q50" s="81"/>
      <c r="R50" s="81"/>
      <c r="S50" s="81"/>
      <c r="T50" s="81"/>
      <c r="U50" s="81"/>
      <c r="V50" s="81"/>
      <c r="W50" s="81"/>
      <c r="X50" s="81"/>
      <c r="Y50" s="81"/>
      <c r="Z50" s="81"/>
    </row>
    <row r="51" spans="1:26" ht="16">
      <c r="A51" s="23"/>
      <c r="B51" s="115"/>
      <c r="C51" s="115"/>
      <c r="D51" s="115"/>
      <c r="E51" s="115"/>
      <c r="F51" s="115"/>
      <c r="G51" s="115"/>
      <c r="H51" s="23"/>
      <c r="I51" s="77"/>
      <c r="J51" s="77"/>
      <c r="K51" s="81"/>
      <c r="L51" s="81"/>
      <c r="M51" s="81"/>
      <c r="N51" s="81"/>
      <c r="O51" s="81"/>
      <c r="P51" s="81"/>
      <c r="Q51" s="81"/>
      <c r="R51" s="81"/>
      <c r="S51" s="81"/>
      <c r="T51" s="81"/>
      <c r="U51" s="81"/>
      <c r="V51" s="81"/>
      <c r="W51" s="81"/>
      <c r="X51" s="81"/>
      <c r="Y51" s="81"/>
      <c r="Z51" s="81"/>
    </row>
    <row r="52" spans="1:26" ht="16">
      <c r="A52" s="23"/>
      <c r="B52" s="86"/>
      <c r="C52" s="86"/>
      <c r="D52" s="86"/>
      <c r="E52" s="86"/>
      <c r="F52" s="86"/>
      <c r="G52" s="86"/>
      <c r="H52" s="23"/>
      <c r="I52" s="77"/>
      <c r="J52" s="77"/>
      <c r="K52" s="81"/>
      <c r="L52" s="81"/>
      <c r="M52" s="81"/>
      <c r="N52" s="81"/>
      <c r="O52" s="81"/>
      <c r="P52" s="81"/>
      <c r="Q52" s="81"/>
      <c r="R52" s="81"/>
      <c r="S52" s="81"/>
      <c r="T52" s="81"/>
      <c r="U52" s="81"/>
      <c r="V52" s="81"/>
      <c r="W52" s="81"/>
      <c r="X52" s="81"/>
      <c r="Y52" s="81"/>
      <c r="Z52" s="81"/>
    </row>
    <row r="53" spans="1:26" ht="16">
      <c r="A53" s="23"/>
      <c r="B53" s="23"/>
      <c r="C53" s="23"/>
      <c r="D53" s="23"/>
      <c r="E53" s="23"/>
      <c r="F53" s="23"/>
      <c r="G53" s="23"/>
      <c r="H53" s="23"/>
      <c r="I53" s="81"/>
      <c r="J53" s="81"/>
      <c r="K53" s="81"/>
      <c r="L53" s="81"/>
      <c r="M53" s="81"/>
      <c r="N53" s="81"/>
      <c r="O53" s="81"/>
      <c r="P53" s="81"/>
      <c r="Q53" s="81"/>
      <c r="R53" s="81"/>
      <c r="S53" s="81"/>
      <c r="T53" s="81"/>
      <c r="U53" s="81"/>
      <c r="V53" s="81"/>
      <c r="W53" s="81"/>
      <c r="X53" s="81"/>
      <c r="Y53" s="81"/>
      <c r="Z53" s="81"/>
    </row>
    <row r="54" spans="1:26" ht="16">
      <c r="A54" s="23"/>
      <c r="B54" s="23"/>
      <c r="C54" s="23"/>
      <c r="D54" s="23"/>
      <c r="E54" s="23"/>
      <c r="F54" s="23"/>
      <c r="G54" s="23"/>
      <c r="H54" s="23"/>
      <c r="I54" s="81"/>
      <c r="J54" s="81"/>
      <c r="K54" s="81"/>
      <c r="L54" s="81"/>
      <c r="M54" s="81"/>
      <c r="N54" s="81"/>
      <c r="O54" s="81"/>
      <c r="P54" s="81"/>
      <c r="Q54" s="81"/>
      <c r="R54" s="81"/>
      <c r="S54" s="81"/>
      <c r="T54" s="81"/>
      <c r="U54" s="81"/>
      <c r="V54" s="81"/>
      <c r="W54" s="81"/>
      <c r="X54" s="81"/>
      <c r="Y54" s="81"/>
      <c r="Z54" s="81"/>
    </row>
    <row r="55" spans="1:26" ht="16">
      <c r="A55" s="23"/>
      <c r="B55" s="23"/>
      <c r="C55" s="23"/>
      <c r="D55" s="23"/>
      <c r="E55" s="23"/>
      <c r="F55" s="23"/>
      <c r="G55" s="23"/>
      <c r="H55" s="23"/>
      <c r="I55" s="81"/>
      <c r="J55" s="81"/>
      <c r="K55" s="81"/>
      <c r="L55" s="81"/>
      <c r="M55" s="81"/>
      <c r="N55" s="81"/>
      <c r="O55" s="81"/>
      <c r="P55" s="81"/>
      <c r="Q55" s="81"/>
      <c r="R55" s="81"/>
      <c r="S55" s="81"/>
      <c r="T55" s="81"/>
      <c r="U55" s="81"/>
      <c r="V55" s="81"/>
      <c r="W55" s="81"/>
      <c r="X55" s="81"/>
      <c r="Y55" s="81"/>
      <c r="Z55" s="81"/>
    </row>
    <row r="56" spans="1:26" ht="16">
      <c r="A56" s="23"/>
      <c r="B56" s="23"/>
      <c r="C56" s="23"/>
      <c r="D56" s="23"/>
      <c r="E56" s="23"/>
      <c r="F56" s="23"/>
      <c r="G56" s="23"/>
      <c r="H56" s="23"/>
      <c r="I56" s="81"/>
      <c r="J56" s="81"/>
      <c r="K56" s="81"/>
      <c r="L56" s="81"/>
      <c r="M56" s="81"/>
      <c r="N56" s="81"/>
      <c r="O56" s="81"/>
      <c r="P56" s="81"/>
      <c r="Q56" s="81"/>
      <c r="R56" s="81"/>
      <c r="S56" s="81"/>
      <c r="T56" s="81"/>
      <c r="U56" s="81"/>
      <c r="V56" s="81"/>
      <c r="W56" s="81"/>
      <c r="X56" s="81"/>
      <c r="Y56" s="81"/>
      <c r="Z56" s="81"/>
    </row>
    <row r="57" spans="1:26" ht="16">
      <c r="A57" s="23"/>
      <c r="B57" s="23"/>
      <c r="C57" s="23"/>
      <c r="D57" s="23"/>
      <c r="E57" s="23"/>
      <c r="F57" s="23"/>
      <c r="G57" s="23"/>
      <c r="H57" s="23"/>
      <c r="I57" s="81"/>
      <c r="J57" s="81"/>
      <c r="K57" s="81"/>
      <c r="L57" s="81"/>
      <c r="M57" s="81"/>
      <c r="N57" s="81"/>
      <c r="O57" s="81"/>
      <c r="P57" s="81"/>
      <c r="Q57" s="81"/>
      <c r="R57" s="81"/>
      <c r="S57" s="81"/>
      <c r="T57" s="81"/>
      <c r="U57" s="81"/>
      <c r="V57" s="81"/>
      <c r="W57" s="81"/>
      <c r="X57" s="81"/>
      <c r="Y57" s="81"/>
      <c r="Z57" s="81"/>
    </row>
    <row r="58" spans="1:26" ht="15">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row>
    <row r="59" spans="1:26" ht="15">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row>
    <row r="60" spans="1:26" ht="15">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row>
    <row r="61" spans="1:26" ht="15">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row>
    <row r="62" spans="1:26" ht="15">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row>
    <row r="63" spans="1:26" ht="15">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row>
    <row r="64" spans="1:26" ht="15">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row>
    <row r="65" spans="1:26" ht="15">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row>
    <row r="66" spans="1:26" ht="15">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row>
    <row r="67" spans="1:26" ht="15">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row>
    <row r="68" spans="1:26" ht="15">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row>
    <row r="69" spans="1:26" ht="15">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row>
    <row r="70" spans="1:26" ht="15">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row>
    <row r="71" spans="1:26" ht="15">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row>
    <row r="72" spans="1:26" ht="15">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row>
    <row r="73" spans="1:26" ht="15">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row>
    <row r="74" spans="1:26" ht="15">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row>
    <row r="75" spans="1:26" ht="15">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row>
    <row r="76" spans="1:26" ht="15">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row>
    <row r="77" spans="1:26" ht="15">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row>
    <row r="78" spans="1:26" ht="15">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row>
    <row r="79" spans="1:26" ht="15">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row>
    <row r="80" spans="1:26" ht="15">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row>
    <row r="81" spans="1:26" ht="15">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row>
    <row r="82" spans="1:26" ht="15">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row>
    <row r="83" spans="1:26" ht="15">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row>
    <row r="84" spans="1:26" ht="15">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row>
    <row r="85" spans="1:26" ht="15">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row>
    <row r="86" spans="1:26" ht="15">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row>
    <row r="87" spans="1:26" ht="15">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row>
    <row r="88" spans="1:26" ht="15">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row>
    <row r="89" spans="1:26" ht="15">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row>
    <row r="90" spans="1:26" ht="15">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row>
    <row r="91" spans="1:26" ht="15">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row>
    <row r="92" spans="1:26" ht="15">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row>
    <row r="93" spans="1:26" ht="15">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row>
    <row r="94" spans="1:26" ht="15">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row>
    <row r="95" spans="1:26" ht="15">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row>
    <row r="96" spans="1:26" ht="15">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row>
    <row r="97" spans="1:26" ht="15">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row>
    <row r="98" spans="1:26" ht="15">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row>
    <row r="99" spans="1:26" ht="15">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row>
    <row r="100" spans="1:26" ht="15">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row>
    <row r="101" spans="1:26" ht="15">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row>
    <row r="102" spans="1:26" ht="15">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row>
    <row r="103" spans="1:26" ht="15">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row>
    <row r="104" spans="1:26" ht="15">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row>
    <row r="105" spans="1:26" ht="15">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row>
    <row r="106" spans="1:26" ht="15">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row>
    <row r="107" spans="1:26" ht="15">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row>
    <row r="108" spans="1:26" ht="15">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row>
    <row r="109" spans="1:26" ht="15">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row>
    <row r="110" spans="1:26" ht="15">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row>
    <row r="111" spans="1:26" ht="15">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row>
    <row r="112" spans="1:26" ht="15">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row>
    <row r="113" spans="1:26" ht="15">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row>
    <row r="114" spans="1:26" ht="15">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row>
    <row r="115" spans="1:26" ht="15">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row>
    <row r="116" spans="1:26" ht="15">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row>
    <row r="117" spans="1:26" ht="15">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row>
    <row r="118" spans="1:26" ht="15">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row>
    <row r="119" spans="1:26" ht="15">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row>
    <row r="120" spans="1:26" ht="15">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row>
    <row r="121" spans="1:26" ht="15">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row>
    <row r="122" spans="1:26" ht="15">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row>
    <row r="123" spans="1:26" ht="15">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row>
    <row r="124" spans="1:26" ht="15">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row>
    <row r="125" spans="1:26" ht="15">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row>
    <row r="126" spans="1:26" ht="15">
      <c r="A126" s="81"/>
      <c r="B126" s="81"/>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row>
    <row r="127" spans="1:26" ht="15">
      <c r="A127" s="81"/>
      <c r="B127" s="81"/>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row>
    <row r="128" spans="1:26" ht="15">
      <c r="A128" s="81"/>
      <c r="B128" s="81"/>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row>
    <row r="129" spans="1:26" ht="15">
      <c r="A129" s="81"/>
      <c r="B129" s="81"/>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row>
    <row r="130" spans="1:26" ht="15">
      <c r="A130" s="81"/>
      <c r="B130" s="81"/>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row>
    <row r="131" spans="1:26" ht="15">
      <c r="A131" s="81"/>
      <c r="B131" s="81"/>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row>
    <row r="132" spans="1:26" ht="15">
      <c r="A132" s="81"/>
      <c r="B132" s="81"/>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row>
    <row r="133" spans="1:26" ht="15">
      <c r="A133" s="81"/>
      <c r="B133" s="81"/>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row>
    <row r="134" spans="1:26" ht="15">
      <c r="A134" s="81"/>
      <c r="B134" s="81"/>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row>
    <row r="135" spans="1:26" ht="15">
      <c r="A135" s="81"/>
      <c r="B135" s="81"/>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row>
    <row r="136" spans="1:26" ht="15">
      <c r="A136" s="81"/>
      <c r="B136" s="81"/>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row>
    <row r="137" spans="1:26" ht="15">
      <c r="A137" s="81"/>
      <c r="B137" s="81"/>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row>
    <row r="138" spans="1:26" ht="15">
      <c r="A138" s="81"/>
      <c r="B138" s="81"/>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row>
    <row r="139" spans="1:26" ht="15">
      <c r="A139" s="81"/>
      <c r="B139" s="81"/>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row>
    <row r="140" spans="1:26" ht="15">
      <c r="A140" s="81"/>
      <c r="B140" s="81"/>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row>
    <row r="141" spans="1:26" ht="15">
      <c r="A141" s="81"/>
      <c r="B141" s="81"/>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row>
    <row r="142" spans="1:26" ht="15">
      <c r="A142" s="81"/>
      <c r="B142" s="81"/>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row>
    <row r="143" spans="1:26" ht="15">
      <c r="A143" s="81"/>
      <c r="B143" s="81"/>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row>
    <row r="144" spans="1:26" ht="15">
      <c r="A144" s="81"/>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row>
    <row r="145" spans="1:26" ht="15">
      <c r="A145" s="81"/>
      <c r="B145" s="81"/>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row>
    <row r="146" spans="1:26" ht="15">
      <c r="A146" s="81"/>
      <c r="B146" s="81"/>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row>
    <row r="147" spans="1:26" ht="15">
      <c r="A147" s="81"/>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row>
    <row r="148" spans="1:26" ht="15">
      <c r="A148" s="81"/>
      <c r="B148" s="81"/>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row>
    <row r="149" spans="1:26" ht="15">
      <c r="A149" s="81"/>
      <c r="B149" s="81"/>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row>
    <row r="150" spans="1:26" ht="15">
      <c r="A150" s="81"/>
      <c r="B150" s="81"/>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row>
    <row r="151" spans="1:26" ht="15">
      <c r="A151" s="81"/>
      <c r="B151" s="81"/>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row>
    <row r="152" spans="1:26" ht="15">
      <c r="A152" s="81"/>
      <c r="B152" s="81"/>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row>
    <row r="153" spans="1:26" ht="15">
      <c r="A153" s="81"/>
      <c r="B153" s="81"/>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row>
    <row r="154" spans="1:26" ht="15">
      <c r="A154" s="81"/>
      <c r="B154" s="81"/>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row>
    <row r="155" spans="1:26" ht="15">
      <c r="A155" s="81"/>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row>
    <row r="156" spans="1:26" ht="15">
      <c r="A156" s="81"/>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row>
    <row r="157" spans="1:26" ht="15">
      <c r="A157" s="81"/>
      <c r="B157" s="81"/>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row>
    <row r="158" spans="1:26" ht="15">
      <c r="A158" s="81"/>
      <c r="B158" s="81"/>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row>
    <row r="159" spans="1:26" ht="15">
      <c r="A159" s="81"/>
      <c r="B159" s="81"/>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row>
    <row r="160" spans="1:26" ht="15">
      <c r="A160" s="81"/>
      <c r="B160" s="81"/>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row>
    <row r="161" spans="1:26" ht="15">
      <c r="A161" s="81"/>
      <c r="B161" s="81"/>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row>
    <row r="162" spans="1:26" ht="15">
      <c r="A162" s="81"/>
      <c r="B162" s="81"/>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row>
    <row r="163" spans="1:26" ht="15">
      <c r="A163" s="81"/>
      <c r="B163" s="8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row>
    <row r="164" spans="1:26" ht="15">
      <c r="A164" s="81"/>
      <c r="B164" s="81"/>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row>
    <row r="165" spans="1:26" ht="15">
      <c r="A165" s="81"/>
      <c r="B165" s="81"/>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row>
    <row r="166" spans="1:26" ht="15">
      <c r="A166" s="81"/>
      <c r="B166" s="81"/>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row>
    <row r="167" spans="1:26" ht="15">
      <c r="A167" s="81"/>
      <c r="B167" s="81"/>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row>
    <row r="168" spans="1:26" ht="15">
      <c r="A168" s="81"/>
      <c r="B168" s="81"/>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row>
    <row r="169" spans="1:26" ht="15">
      <c r="A169" s="81"/>
      <c r="B169" s="81"/>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row>
    <row r="170" spans="1:26" ht="15">
      <c r="A170" s="81"/>
      <c r="B170" s="81"/>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row>
    <row r="171" spans="1:26" ht="15">
      <c r="A171" s="81"/>
      <c r="B171" s="81"/>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row>
    <row r="172" spans="1:26" ht="15">
      <c r="A172" s="81"/>
      <c r="B172" s="81"/>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row>
    <row r="173" spans="1:26" ht="15">
      <c r="A173" s="81"/>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row>
    <row r="174" spans="1:26" ht="15">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row>
    <row r="175" spans="1:26" ht="15">
      <c r="A175" s="81"/>
      <c r="B175" s="81"/>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row>
    <row r="176" spans="1:26" ht="15">
      <c r="A176" s="81"/>
      <c r="B176" s="81"/>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row>
    <row r="177" spans="1:26" ht="15">
      <c r="A177" s="81"/>
      <c r="B177" s="81"/>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row>
    <row r="178" spans="1:26" ht="15">
      <c r="A178" s="81"/>
      <c r="B178" s="81"/>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row>
    <row r="179" spans="1:26" ht="15">
      <c r="A179" s="81"/>
      <c r="B179" s="81"/>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row>
    <row r="180" spans="1:26" ht="15">
      <c r="A180" s="81"/>
      <c r="B180" s="81"/>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row>
    <row r="181" spans="1:26" ht="15">
      <c r="A181" s="81"/>
      <c r="B181" s="81"/>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row>
    <row r="182" spans="1:26" ht="15">
      <c r="A182" s="81"/>
      <c r="B182" s="81"/>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row>
    <row r="183" spans="1:26" ht="15">
      <c r="A183" s="81"/>
      <c r="B183" s="81"/>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row>
    <row r="184" spans="1:26" ht="15">
      <c r="A184" s="81"/>
      <c r="B184" s="81"/>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row>
    <row r="185" spans="1:26" ht="15">
      <c r="A185" s="81"/>
      <c r="B185" s="81"/>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row>
    <row r="186" spans="1:26" ht="15">
      <c r="A186" s="81"/>
      <c r="B186" s="81"/>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row>
    <row r="187" spans="1:26" ht="15">
      <c r="A187" s="81"/>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row>
    <row r="188" spans="1:26" ht="15">
      <c r="A188" s="81"/>
      <c r="B188" s="81"/>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row>
    <row r="189" spans="1:26" ht="15">
      <c r="A189" s="81"/>
      <c r="B189" s="81"/>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row>
    <row r="190" spans="1:26" ht="15">
      <c r="A190" s="81"/>
      <c r="B190" s="81"/>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row>
    <row r="191" spans="1:26" ht="15">
      <c r="A191" s="81"/>
      <c r="B191" s="81"/>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row>
    <row r="192" spans="1:26" ht="15">
      <c r="A192" s="81"/>
      <c r="B192" s="81"/>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row>
    <row r="193" spans="1:26" ht="15">
      <c r="A193" s="81"/>
      <c r="B193" s="81"/>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row>
    <row r="194" spans="1:26" ht="15">
      <c r="A194" s="81"/>
      <c r="B194" s="81"/>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row>
    <row r="195" spans="1:26" ht="15">
      <c r="A195" s="81"/>
      <c r="B195" s="81"/>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row>
    <row r="196" spans="1:26" ht="15">
      <c r="A196" s="81"/>
      <c r="B196" s="81"/>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row>
    <row r="197" spans="1:26" ht="15">
      <c r="A197" s="81"/>
      <c r="B197" s="81"/>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row>
    <row r="198" spans="1:26" ht="15">
      <c r="A198" s="81"/>
      <c r="B198" s="81"/>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row>
    <row r="199" spans="1:26" ht="15">
      <c r="A199" s="81"/>
      <c r="B199" s="81"/>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row>
    <row r="200" spans="1:26" ht="15">
      <c r="A200" s="81"/>
      <c r="B200" s="81"/>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row>
    <row r="201" spans="1:26" ht="15">
      <c r="A201" s="81"/>
      <c r="B201" s="81"/>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row>
    <row r="202" spans="1:26" ht="15">
      <c r="A202" s="81"/>
      <c r="B202" s="81"/>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row>
    <row r="203" spans="1:26" ht="15">
      <c r="A203" s="81"/>
      <c r="B203" s="81"/>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row>
    <row r="204" spans="1:26" ht="15">
      <c r="A204" s="81"/>
      <c r="B204" s="81"/>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row>
    <row r="205" spans="1:26" ht="15">
      <c r="A205" s="81"/>
      <c r="B205" s="81"/>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row>
    <row r="206" spans="1:26" ht="15">
      <c r="A206" s="81"/>
      <c r="B206" s="81"/>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row>
    <row r="207" spans="1:26" ht="15">
      <c r="A207" s="81"/>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row>
    <row r="208" spans="1:26" ht="15">
      <c r="A208" s="81"/>
      <c r="B208" s="81"/>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row>
    <row r="209" spans="1:26" ht="15">
      <c r="A209" s="81"/>
      <c r="B209" s="81"/>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row>
    <row r="210" spans="1:26" ht="15">
      <c r="A210" s="81"/>
      <c r="B210" s="81"/>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row>
    <row r="211" spans="1:26" ht="15">
      <c r="A211" s="81"/>
      <c r="B211" s="81"/>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row>
    <row r="212" spans="1:26" ht="15">
      <c r="A212" s="81"/>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row>
    <row r="213" spans="1:26" ht="15">
      <c r="A213" s="81"/>
      <c r="B213" s="81"/>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row>
    <row r="214" spans="1:26" ht="15">
      <c r="A214" s="81"/>
      <c r="B214" s="81"/>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row>
    <row r="215" spans="1:26" ht="15">
      <c r="A215" s="81"/>
      <c r="B215" s="81"/>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row>
    <row r="216" spans="1:26" ht="15">
      <c r="A216" s="81"/>
      <c r="B216" s="81"/>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row>
    <row r="217" spans="1:26" ht="15">
      <c r="A217" s="81"/>
      <c r="B217" s="81"/>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row>
    <row r="218" spans="1:26" ht="15">
      <c r="A218" s="81"/>
      <c r="B218" s="81"/>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row>
    <row r="219" spans="1:26" ht="15">
      <c r="A219" s="81"/>
      <c r="B219" s="81"/>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row>
    <row r="220" spans="1:26" ht="15">
      <c r="A220" s="81"/>
      <c r="B220" s="81"/>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row>
    <row r="221" spans="1:26" ht="15">
      <c r="A221" s="81"/>
      <c r="B221" s="81"/>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row>
    <row r="222" spans="1:26" ht="15">
      <c r="A222" s="81"/>
      <c r="B222" s="81"/>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row>
    <row r="223" spans="1:26" ht="15">
      <c r="A223" s="81"/>
      <c r="B223" s="81"/>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row>
    <row r="224" spans="1:26" ht="15">
      <c r="A224" s="81"/>
      <c r="B224" s="81"/>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row>
    <row r="225" spans="1:26" ht="15">
      <c r="A225" s="81"/>
      <c r="B225" s="81"/>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row>
    <row r="226" spans="1:26" ht="15">
      <c r="A226" s="81"/>
      <c r="B226" s="81"/>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row>
    <row r="227" spans="1:26" ht="15">
      <c r="A227" s="81"/>
      <c r="B227" s="81"/>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row>
    <row r="228" spans="1:26" ht="15">
      <c r="A228" s="81"/>
      <c r="B228" s="81"/>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row>
    <row r="229" spans="1:26" ht="15">
      <c r="A229" s="81"/>
      <c r="B229" s="81"/>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row>
    <row r="230" spans="1:26" ht="15">
      <c r="A230" s="81"/>
      <c r="B230" s="81"/>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row>
    <row r="231" spans="1:26" ht="15">
      <c r="A231" s="81"/>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row>
    <row r="232" spans="1:26" ht="15">
      <c r="A232" s="81"/>
      <c r="B232" s="81"/>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row>
    <row r="233" spans="1:26" ht="15">
      <c r="A233" s="81"/>
      <c r="B233" s="81"/>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row>
    <row r="234" spans="1:26" ht="15">
      <c r="A234" s="81"/>
      <c r="B234" s="81"/>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row>
    <row r="235" spans="1:26" ht="15">
      <c r="A235" s="81"/>
      <c r="B235" s="81"/>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row>
    <row r="236" spans="1:26" ht="15">
      <c r="A236" s="81"/>
      <c r="B236" s="81"/>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row>
    <row r="237" spans="1:26" ht="15">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row>
    <row r="238" spans="1:26" ht="15">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row>
    <row r="239" spans="1:26" ht="15">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row>
    <row r="240" spans="1:26" ht="15">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row>
    <row r="241" spans="1:26" ht="15">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row>
    <row r="242" spans="1:26" ht="15">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row>
    <row r="243" spans="1:26" ht="15">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row>
    <row r="244" spans="1:26" ht="15">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row>
    <row r="245" spans="1:26" ht="15">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row>
    <row r="246" spans="1:26" ht="15">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row>
    <row r="247" spans="1:26" ht="15">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row>
    <row r="248" spans="1:26" ht="15">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row>
    <row r="249" spans="1:26" ht="15">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row>
    <row r="250" spans="1:26" ht="15">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row>
    <row r="251" spans="1:26" ht="15">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row>
    <row r="252" spans="1:26" ht="15">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row>
    <row r="253" spans="1:26" ht="15">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row>
    <row r="254" spans="1:26" ht="15">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row>
    <row r="255" spans="1:26" ht="15">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row>
    <row r="256" spans="1:26" ht="15">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row>
    <row r="257" spans="1:26" ht="15">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row>
    <row r="258" spans="1:26" ht="15">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row>
    <row r="259" spans="1:26" ht="15">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row>
    <row r="260" spans="1:26" ht="15">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row>
    <row r="261" spans="1:26" ht="15">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row>
    <row r="262" spans="1:26" ht="15">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row>
    <row r="263" spans="1:26" ht="15">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row>
    <row r="264" spans="1:26" ht="15">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row>
    <row r="265" spans="1:26" ht="15">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row>
    <row r="266" spans="1:26" ht="15">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row>
    <row r="267" spans="1:26" ht="15">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row>
    <row r="268" spans="1:26" ht="15">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row>
    <row r="269" spans="1:26" ht="15">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row>
    <row r="270" spans="1:26" ht="15">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row>
    <row r="271" spans="1:26" ht="15">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row>
    <row r="272" spans="1:26" ht="15">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row>
    <row r="273" spans="1:26" ht="15">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row>
    <row r="274" spans="1:26" ht="15">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row>
    <row r="275" spans="1:26" ht="15">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row>
    <row r="276" spans="1:26" ht="15">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row>
    <row r="277" spans="1:26" ht="15">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row>
    <row r="278" spans="1:26" ht="15">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row>
    <row r="279" spans="1:26" ht="15">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row>
    <row r="280" spans="1:26" ht="15">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row>
    <row r="281" spans="1:26" ht="15">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row>
    <row r="282" spans="1:26" ht="15">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row>
    <row r="283" spans="1:26" ht="15">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row>
    <row r="284" spans="1:26" ht="15">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row>
    <row r="285" spans="1:26" ht="15">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row>
    <row r="286" spans="1:26" ht="15">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row>
    <row r="287" spans="1:26" ht="15">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row>
    <row r="288" spans="1:26" ht="15">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row>
    <row r="289" spans="1:26" ht="15">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row>
    <row r="290" spans="1:26" ht="15">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row>
    <row r="291" spans="1:26" ht="15">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row>
    <row r="292" spans="1:26" ht="15">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row>
    <row r="293" spans="1:26" ht="15">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row>
    <row r="294" spans="1:26" ht="15">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row>
    <row r="295" spans="1:26" ht="15">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row>
    <row r="296" spans="1:26" ht="15">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row>
    <row r="297" spans="1:26" ht="15">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row>
    <row r="298" spans="1:26" ht="15">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row>
    <row r="299" spans="1:26" ht="15">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row>
    <row r="300" spans="1:26" ht="15">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row>
    <row r="301" spans="1:26" ht="15">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row>
    <row r="302" spans="1:26" ht="15">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row>
    <row r="303" spans="1:26" ht="15">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row>
    <row r="304" spans="1:26" ht="15">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row>
    <row r="305" spans="1:26" ht="15">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row>
    <row r="306" spans="1:26" ht="15">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row>
    <row r="307" spans="1:26" ht="15">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row>
    <row r="308" spans="1:26" ht="15">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row>
    <row r="309" spans="1:26" ht="15">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row>
    <row r="310" spans="1:26" ht="15">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row>
    <row r="311" spans="1:26" ht="15">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row>
    <row r="312" spans="1:26" ht="15">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row>
    <row r="313" spans="1:26" ht="15">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row>
    <row r="314" spans="1:26" ht="15">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row>
    <row r="315" spans="1:26" ht="15">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row>
    <row r="316" spans="1:26" ht="15">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row>
    <row r="317" spans="1:26" ht="15">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row>
    <row r="318" spans="1:26" ht="15">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row>
    <row r="319" spans="1:26" ht="15">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row>
    <row r="320" spans="1:26" ht="15">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row>
    <row r="321" spans="1:26" ht="15">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row>
    <row r="322" spans="1:26" ht="15">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row>
    <row r="323" spans="1:26" ht="15">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row>
    <row r="324" spans="1:26" ht="15">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row>
    <row r="325" spans="1:26" ht="15">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row>
    <row r="326" spans="1:26" ht="15">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row>
    <row r="327" spans="1:26" ht="15">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row>
    <row r="328" spans="1:26" ht="15">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row>
    <row r="329" spans="1:26" ht="15">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row>
    <row r="330" spans="1:26" ht="15">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row>
    <row r="331" spans="1:26" ht="15">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row>
    <row r="332" spans="1:26" ht="15">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row>
    <row r="333" spans="1:26" ht="15">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row>
    <row r="334" spans="1:26" ht="15">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row>
    <row r="335" spans="1:26" ht="15">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row>
    <row r="336" spans="1:26" ht="15">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row>
    <row r="337" spans="1:26" ht="15">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row>
    <row r="338" spans="1:26" ht="15">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row>
    <row r="339" spans="1:26" ht="15">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row>
    <row r="340" spans="1:26" ht="15">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row>
    <row r="341" spans="1:26" ht="15">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row>
    <row r="342" spans="1:26" ht="15">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row>
    <row r="343" spans="1:26" ht="15">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row>
    <row r="344" spans="1:26" ht="15">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row>
    <row r="345" spans="1:26" ht="15">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row>
    <row r="346" spans="1:26" ht="15">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row>
    <row r="347" spans="1:26" ht="15">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row>
    <row r="348" spans="1:26" ht="15">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row>
    <row r="349" spans="1:26" ht="15">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row>
    <row r="350" spans="1:26" ht="15">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row>
    <row r="351" spans="1:26" ht="15">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row>
    <row r="352" spans="1:26" ht="15">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row>
    <row r="353" spans="1:26" ht="15">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row>
    <row r="354" spans="1:26" ht="15">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row>
    <row r="355" spans="1:26" ht="15">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row>
    <row r="356" spans="1:26" ht="15">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row>
    <row r="357" spans="1:26" ht="15">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row>
    <row r="358" spans="1:26" ht="15">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row>
    <row r="359" spans="1:26" ht="15">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row>
    <row r="360" spans="1:26" ht="15">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row>
    <row r="361" spans="1:26" ht="15">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row>
    <row r="362" spans="1:26" ht="15">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row>
    <row r="363" spans="1:26" ht="15">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row>
    <row r="364" spans="1:26" ht="15">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row>
    <row r="365" spans="1:26" ht="15">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row>
    <row r="366" spans="1:26" ht="15">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row>
    <row r="367" spans="1:26" ht="15">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row>
    <row r="368" spans="1:26" ht="15">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row>
    <row r="369" spans="1:26" ht="15">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row>
    <row r="370" spans="1:26" ht="15">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row>
    <row r="371" spans="1:26" ht="15">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row>
    <row r="372" spans="1:26" ht="15">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row>
    <row r="373" spans="1:26" ht="15">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row>
    <row r="374" spans="1:26" ht="15">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row>
    <row r="375" spans="1:26" ht="15">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row>
    <row r="376" spans="1:26" ht="15">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row>
    <row r="377" spans="1:26" ht="15">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row>
    <row r="378" spans="1:26" ht="15">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row>
    <row r="379" spans="1:26" ht="15">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row>
    <row r="380" spans="1:26" ht="15">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row>
    <row r="381" spans="1:26" ht="15">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row>
    <row r="382" spans="1:26" ht="15">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row>
    <row r="383" spans="1:26" ht="15">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row>
    <row r="384" spans="1:26" ht="15">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row>
    <row r="385" spans="1:26" ht="15">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row>
    <row r="386" spans="1:26" ht="15">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row>
    <row r="387" spans="1:26" ht="15">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row>
    <row r="388" spans="1:26" ht="15">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row>
    <row r="389" spans="1:26" ht="15">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row>
    <row r="390" spans="1:26" ht="15">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row>
    <row r="391" spans="1:26" ht="15">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row>
    <row r="392" spans="1:26" ht="15">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row>
    <row r="393" spans="1:26" ht="15">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row>
    <row r="394" spans="1:26" ht="15">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row>
    <row r="395" spans="1:26" ht="15">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row>
    <row r="396" spans="1:26" ht="15">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row>
    <row r="397" spans="1:26" ht="15">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row>
    <row r="398" spans="1:26" ht="15">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row>
    <row r="399" spans="1:26" ht="15">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row>
    <row r="400" spans="1:26" ht="15">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row>
    <row r="401" spans="1:26" ht="15">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row>
    <row r="402" spans="1:26" ht="15">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row>
    <row r="403" spans="1:26" ht="15">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row>
    <row r="404" spans="1:26" ht="15">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row>
    <row r="405" spans="1:26" ht="15">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row>
    <row r="406" spans="1:26" ht="15">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row>
    <row r="407" spans="1:26" ht="15">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row>
    <row r="408" spans="1:26" ht="15">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row>
    <row r="409" spans="1:26" ht="15">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row>
    <row r="410" spans="1:26" ht="15">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row>
    <row r="411" spans="1:26" ht="15">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row>
    <row r="412" spans="1:26" ht="15">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row>
    <row r="413" spans="1:26" ht="15">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row>
    <row r="414" spans="1:26" ht="15">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row>
    <row r="415" spans="1:26" ht="15">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row>
    <row r="416" spans="1:26" ht="15">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row>
    <row r="417" spans="1:26" ht="15">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row>
    <row r="418" spans="1:26" ht="15">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row>
    <row r="419" spans="1:26" ht="15">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row>
    <row r="420" spans="1:26" ht="15">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row>
    <row r="421" spans="1:26" ht="15">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row>
    <row r="422" spans="1:26" ht="15">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row>
    <row r="423" spans="1:26" ht="15">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row>
    <row r="424" spans="1:26" ht="15">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row>
    <row r="425" spans="1:26" ht="15">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row>
    <row r="426" spans="1:26" ht="15">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row>
    <row r="427" spans="1:26" ht="15">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row>
    <row r="428" spans="1:26" ht="15">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row>
    <row r="429" spans="1:26" ht="15">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row>
    <row r="430" spans="1:26" ht="15">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row>
    <row r="431" spans="1:26" ht="15">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row>
    <row r="432" spans="1:26" ht="15">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row>
    <row r="433" spans="1:26" ht="15">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row>
    <row r="434" spans="1:26" ht="15">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row>
    <row r="435" spans="1:26" ht="15">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row>
    <row r="436" spans="1:26" ht="15">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row>
    <row r="437" spans="1:26" ht="15">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row>
    <row r="438" spans="1:26" ht="15">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row>
    <row r="439" spans="1:26" ht="15">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row>
    <row r="440" spans="1:26" ht="15">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row>
    <row r="441" spans="1:26" ht="15">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row>
    <row r="442" spans="1:26" ht="15">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row>
    <row r="443" spans="1:26" ht="15">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row>
    <row r="444" spans="1:26" ht="15">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row>
    <row r="445" spans="1:26" ht="15">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row>
    <row r="446" spans="1:26" ht="15">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row>
    <row r="447" spans="1:26" ht="15">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row>
    <row r="448" spans="1:26" ht="15">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row>
    <row r="449" spans="1:26" ht="15">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row>
    <row r="450" spans="1:26" ht="15">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row>
    <row r="451" spans="1:26" ht="15">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row>
    <row r="452" spans="1:26" ht="15">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row>
    <row r="453" spans="1:26" ht="15">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row>
    <row r="454" spans="1:26" ht="15">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row>
    <row r="455" spans="1:26" ht="15">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row>
    <row r="456" spans="1:26" ht="15">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row>
    <row r="457" spans="1:26" ht="15">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row>
    <row r="458" spans="1:26" ht="15">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row>
    <row r="459" spans="1:26" ht="15">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row>
    <row r="460" spans="1:26" ht="15">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row>
    <row r="461" spans="1:26" ht="15">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row>
    <row r="462" spans="1:26" ht="15">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row>
    <row r="463" spans="1:26" ht="15">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row>
    <row r="464" spans="1:26" ht="15">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row>
    <row r="465" spans="1:26" ht="15">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row>
    <row r="466" spans="1:26" ht="15">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row>
    <row r="467" spans="1:26" ht="15">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row>
    <row r="468" spans="1:26" ht="15">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row>
    <row r="469" spans="1:26" ht="15">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row>
    <row r="470" spans="1:26" ht="15">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row>
    <row r="471" spans="1:26" ht="15">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row>
    <row r="472" spans="1:26" ht="15">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row>
    <row r="473" spans="1:26" ht="15">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row>
    <row r="474" spans="1:26" ht="15">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row>
    <row r="475" spans="1:26" ht="15">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row>
    <row r="476" spans="1:26" ht="15">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row>
    <row r="477" spans="1:26" ht="15">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row>
    <row r="478" spans="1:26" ht="15">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row>
    <row r="479" spans="1:26" ht="15">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row>
    <row r="480" spans="1:26" ht="15">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row>
    <row r="481" spans="1:26" ht="15">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row>
    <row r="482" spans="1:26" ht="15">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row>
    <row r="483" spans="1:26" ht="15">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row>
    <row r="484" spans="1:26" ht="15">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row>
    <row r="485" spans="1:26" ht="15">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row>
    <row r="486" spans="1:26" ht="15">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row>
    <row r="487" spans="1:26" ht="15">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row>
    <row r="488" spans="1:26" ht="15">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row>
    <row r="489" spans="1:26" ht="15">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row>
    <row r="490" spans="1:26" ht="15">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row>
    <row r="491" spans="1:26" ht="15">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row>
    <row r="492" spans="1:26" ht="15">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row>
    <row r="493" spans="1:26" ht="15">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row>
    <row r="494" spans="1:26" ht="15">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row>
    <row r="495" spans="1:26" ht="15">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row>
    <row r="496" spans="1:26" ht="15">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row>
    <row r="497" spans="1:26" ht="15">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row>
    <row r="498" spans="1:26" ht="15">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row>
    <row r="499" spans="1:26" ht="15">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row>
    <row r="500" spans="1:26" ht="15">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row>
    <row r="501" spans="1:26" ht="15">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row>
    <row r="502" spans="1:26" ht="15">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row>
    <row r="503" spans="1:26" ht="15">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row>
    <row r="504" spans="1:26" ht="15">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row>
    <row r="505" spans="1:26" ht="15">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row>
    <row r="506" spans="1:26" ht="15">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row>
    <row r="507" spans="1:26" ht="15">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row>
    <row r="508" spans="1:26" ht="15">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row>
    <row r="509" spans="1:26" ht="15">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row>
    <row r="510" spans="1:26" ht="15">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row>
    <row r="511" spans="1:26" ht="15">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row>
    <row r="512" spans="1:26" ht="15">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row>
    <row r="513" spans="1:26" ht="15">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row>
    <row r="514" spans="1:26" ht="15">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row>
    <row r="515" spans="1:26" ht="15">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row>
    <row r="516" spans="1:26" ht="15">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row>
    <row r="517" spans="1:26" ht="15">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row>
    <row r="518" spans="1:26" ht="15">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row>
    <row r="519" spans="1:26" ht="15">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row>
    <row r="520" spans="1:26" ht="15">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row>
    <row r="521" spans="1:26" ht="15">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row>
    <row r="522" spans="1:26" ht="15">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row>
    <row r="523" spans="1:26" ht="15">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row>
    <row r="524" spans="1:26" ht="15">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row>
    <row r="525" spans="1:26" ht="15">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row>
    <row r="526" spans="1:26" ht="15">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row>
    <row r="527" spans="1:26" ht="15">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row>
    <row r="528" spans="1:26" ht="15">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row>
    <row r="529" spans="1:26" ht="15">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row>
    <row r="530" spans="1:26" ht="15">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row>
    <row r="531" spans="1:26" ht="15">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row>
    <row r="532" spans="1:26" ht="15">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row>
    <row r="533" spans="1:26" ht="15">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row>
    <row r="534" spans="1:26" ht="15">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row>
    <row r="535" spans="1:26" ht="15">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row>
    <row r="536" spans="1:26" ht="15">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row>
    <row r="537" spans="1:26" ht="15">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row>
    <row r="538" spans="1:26" ht="15">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row>
    <row r="539" spans="1:26" ht="15">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row>
    <row r="540" spans="1:26" ht="15">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row>
    <row r="541" spans="1:26" ht="15">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row>
    <row r="542" spans="1:26" ht="15">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row>
    <row r="543" spans="1:26" ht="15">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row>
    <row r="544" spans="1:26" ht="15">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row>
    <row r="545" spans="1:26" ht="15">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row>
    <row r="546" spans="1:26" ht="15">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row>
    <row r="547" spans="1:26" ht="15">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row>
    <row r="548" spans="1:26" ht="15">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row>
    <row r="549" spans="1:26" ht="15">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row>
    <row r="550" spans="1:26" ht="15">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row>
    <row r="551" spans="1:26" ht="15">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row>
    <row r="552" spans="1:26" ht="15">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row>
    <row r="553" spans="1:26" ht="15">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row>
    <row r="554" spans="1:26" ht="15">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row>
    <row r="555" spans="1:26" ht="15">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row>
    <row r="556" spans="1:26" ht="15">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row>
    <row r="557" spans="1:26" ht="15">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row>
    <row r="558" spans="1:26" ht="15">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row>
    <row r="559" spans="1:26" ht="15">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row>
    <row r="560" spans="1:26" ht="15">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row>
    <row r="561" spans="1:26" ht="15">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row>
    <row r="562" spans="1:26" ht="15">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row>
    <row r="563" spans="1:26" ht="15">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row>
    <row r="564" spans="1:26" ht="15">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row>
    <row r="565" spans="1:26" ht="15">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row>
    <row r="566" spans="1:26" ht="15">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row>
    <row r="567" spans="1:26" ht="15">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row>
    <row r="568" spans="1:26" ht="15">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row>
    <row r="569" spans="1:26" ht="15">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row>
    <row r="570" spans="1:26" ht="15">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row>
    <row r="571" spans="1:26" ht="15">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row>
    <row r="572" spans="1:26" ht="15">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row>
    <row r="573" spans="1:26" ht="15">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row>
    <row r="574" spans="1:26" ht="15">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row>
    <row r="575" spans="1:26" ht="15">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row>
    <row r="576" spans="1:26" ht="15">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row>
    <row r="577" spans="1:26" ht="15">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row>
    <row r="578" spans="1:26" ht="15">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row>
    <row r="579" spans="1:26" ht="15">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row>
    <row r="580" spans="1:26" ht="15">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row>
    <row r="581" spans="1:26" ht="15">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row>
    <row r="582" spans="1:26" ht="15">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row>
    <row r="583" spans="1:26" ht="15">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row>
    <row r="584" spans="1:26" ht="15">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row>
    <row r="585" spans="1:26" ht="15">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row>
    <row r="586" spans="1:26" ht="15">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row>
    <row r="587" spans="1:26" ht="15">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row>
    <row r="588" spans="1:26" ht="15">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row>
    <row r="589" spans="1:26" ht="15">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row>
    <row r="590" spans="1:26" ht="15">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row>
    <row r="591" spans="1:26" ht="15">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row>
    <row r="592" spans="1:26" ht="15">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row>
    <row r="593" spans="1:26" ht="15">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row>
    <row r="594" spans="1:26" ht="15">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row>
    <row r="595" spans="1:26" ht="15">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row>
    <row r="596" spans="1:26" ht="15">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row>
    <row r="597" spans="1:26" ht="15">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row>
    <row r="598" spans="1:26" ht="15">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row>
    <row r="599" spans="1:26" ht="15">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row>
    <row r="600" spans="1:26" ht="15">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row>
    <row r="601" spans="1:26" ht="15">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row>
    <row r="602" spans="1:26" ht="15">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row>
    <row r="603" spans="1:26" ht="15">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row>
    <row r="604" spans="1:26" ht="15">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row>
    <row r="605" spans="1:26" ht="15">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row>
    <row r="606" spans="1:26" ht="15">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row>
    <row r="607" spans="1:26" ht="15">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row>
    <row r="608" spans="1:26" ht="15">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row>
    <row r="609" spans="1:26" ht="15">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row>
    <row r="610" spans="1:26" ht="15">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row>
    <row r="611" spans="1:26" ht="15">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row>
    <row r="612" spans="1:26" ht="15">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row>
    <row r="613" spans="1:26" ht="15">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row>
    <row r="614" spans="1:26" ht="15">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row>
    <row r="615" spans="1:26" ht="15">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row>
    <row r="616" spans="1:26" ht="15">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row>
    <row r="617" spans="1:26" ht="15">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row>
    <row r="618" spans="1:26" ht="15">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row>
    <row r="619" spans="1:26" ht="15">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row>
    <row r="620" spans="1:26" ht="15">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row>
    <row r="621" spans="1:26" ht="15">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row>
    <row r="622" spans="1:26" ht="15">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row>
    <row r="623" spans="1:26" ht="15">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row>
    <row r="624" spans="1:26" ht="15">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row>
    <row r="625" spans="1:26" ht="15">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row>
    <row r="626" spans="1:26" ht="15">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row>
    <row r="627" spans="1:26" ht="15">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row>
    <row r="628" spans="1:26" ht="15">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row>
    <row r="629" spans="1:26" ht="15">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row>
    <row r="630" spans="1:26" ht="15">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row>
    <row r="631" spans="1:26" ht="15">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row>
    <row r="632" spans="1:26" ht="15">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row>
    <row r="633" spans="1:26" ht="15">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row>
    <row r="634" spans="1:26" ht="15">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row>
    <row r="635" spans="1:26" ht="15">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row>
    <row r="636" spans="1:26" ht="15">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row>
    <row r="637" spans="1:26" ht="15">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row>
    <row r="638" spans="1:26" ht="15">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row>
    <row r="639" spans="1:26" ht="15">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row>
    <row r="640" spans="1:26" ht="15">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row>
    <row r="641" spans="1:26" ht="15">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row>
    <row r="642" spans="1:26" ht="15">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row>
    <row r="643" spans="1:26" ht="15">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row>
    <row r="644" spans="1:26" ht="15">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row>
    <row r="645" spans="1:26" ht="15">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row>
    <row r="646" spans="1:26" ht="15">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row>
    <row r="647" spans="1:26" ht="15">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row>
    <row r="648" spans="1:26" ht="15">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row>
    <row r="649" spans="1:26" ht="15">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row>
    <row r="650" spans="1:26" ht="15">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row>
    <row r="651" spans="1:26" ht="15">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row>
    <row r="652" spans="1:26" ht="15">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row>
    <row r="653" spans="1:26" ht="15">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row>
    <row r="654" spans="1:26" ht="15">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row>
    <row r="655" spans="1:26" ht="15">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row>
    <row r="656" spans="1:26" ht="15">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row>
    <row r="657" spans="1:26" ht="15">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row>
    <row r="658" spans="1:26" ht="15">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row>
    <row r="659" spans="1:26" ht="15">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row>
    <row r="660" spans="1:26" ht="15">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row>
    <row r="661" spans="1:26" ht="15">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row>
    <row r="662" spans="1:26" ht="15">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row>
    <row r="663" spans="1:26" ht="15">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row>
    <row r="664" spans="1:26" ht="15">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row>
    <row r="665" spans="1:26" ht="15">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row>
    <row r="666" spans="1:26" ht="15">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row>
    <row r="667" spans="1:26" ht="15">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row>
    <row r="668" spans="1:26" ht="15">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row>
    <row r="669" spans="1:26" ht="15">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row>
    <row r="670" spans="1:26" ht="15">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row>
    <row r="671" spans="1:26" ht="15">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row>
    <row r="672" spans="1:26" ht="15">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row>
    <row r="673" spans="1:26" ht="15">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row>
    <row r="674" spans="1:26" ht="15">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row>
    <row r="675" spans="1:26" ht="15">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row>
    <row r="676" spans="1:26" ht="15">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row>
    <row r="677" spans="1:26" ht="15">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row>
    <row r="678" spans="1:26" ht="15">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row>
    <row r="679" spans="1:26" ht="15">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row>
    <row r="680" spans="1:26" ht="15">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row>
    <row r="681" spans="1:26" ht="15">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row>
    <row r="682" spans="1:26" ht="15">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row>
    <row r="683" spans="1:26" ht="15">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row>
    <row r="684" spans="1:26" ht="15">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row>
    <row r="685" spans="1:26" ht="15">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row>
    <row r="686" spans="1:26" ht="15">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row>
    <row r="687" spans="1:26" ht="15">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row>
    <row r="688" spans="1:26" ht="15">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row>
    <row r="689" spans="1:26" ht="15">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row>
    <row r="690" spans="1:26" ht="15">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row>
    <row r="691" spans="1:26" ht="15">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row>
    <row r="692" spans="1:26" ht="15">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row>
    <row r="693" spans="1:26" ht="15">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row>
    <row r="694" spans="1:26" ht="15">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row>
    <row r="695" spans="1:26" ht="15">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row>
    <row r="696" spans="1:26" ht="15">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row>
    <row r="697" spans="1:26" ht="15">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row>
    <row r="698" spans="1:26" ht="15">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row>
    <row r="699" spans="1:26" ht="15">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row>
    <row r="700" spans="1:26" ht="15">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row>
    <row r="701" spans="1:26" ht="15">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row>
    <row r="702" spans="1:26" ht="15">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row>
    <row r="703" spans="1:26" ht="15">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row>
    <row r="704" spans="1:26" ht="15">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row>
    <row r="705" spans="1:26" ht="15">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row>
    <row r="706" spans="1:26" ht="15">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row>
    <row r="707" spans="1:26" ht="15">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row>
    <row r="708" spans="1:26" ht="15">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row>
    <row r="709" spans="1:26" ht="15">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row>
    <row r="710" spans="1:26" ht="15">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row>
    <row r="711" spans="1:26" ht="15">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row>
    <row r="712" spans="1:26" ht="15">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row>
    <row r="713" spans="1:26" ht="15">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row>
    <row r="714" spans="1:26" ht="15">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row>
    <row r="715" spans="1:26" ht="15">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row>
    <row r="716" spans="1:26" ht="15">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row>
    <row r="717" spans="1:26" ht="15">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row>
    <row r="718" spans="1:26" ht="15">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row>
    <row r="719" spans="1:26" ht="15">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row>
    <row r="720" spans="1:26" ht="15">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row>
    <row r="721" spans="1:26" ht="15">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row>
    <row r="722" spans="1:26" ht="15">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row>
    <row r="723" spans="1:26" ht="15">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row>
    <row r="724" spans="1:26" ht="15">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row>
    <row r="725" spans="1:26" ht="15">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row>
    <row r="726" spans="1:26" ht="15">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row>
    <row r="727" spans="1:26" ht="15">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row>
    <row r="728" spans="1:26" ht="15">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row>
    <row r="729" spans="1:26" ht="15">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row>
    <row r="730" spans="1:26" ht="15">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row>
    <row r="731" spans="1:26" ht="15">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row>
    <row r="732" spans="1:26" ht="15">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row>
    <row r="733" spans="1:26" ht="15">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row>
    <row r="734" spans="1:26" ht="15">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row>
    <row r="735" spans="1:26" ht="15">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row>
    <row r="736" spans="1:26" ht="15">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row>
    <row r="737" spans="1:26" ht="15">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row>
    <row r="738" spans="1:26" ht="15">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row>
    <row r="739" spans="1:26" ht="15">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row>
    <row r="740" spans="1:26" ht="15">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row>
    <row r="741" spans="1:26" ht="15">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row>
    <row r="742" spans="1:26" ht="15">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row>
    <row r="743" spans="1:26" ht="15">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row>
    <row r="744" spans="1:26" ht="15">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row>
    <row r="745" spans="1:26" ht="15">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row>
    <row r="746" spans="1:26" ht="15">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row>
    <row r="747" spans="1:26" ht="15">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row>
    <row r="748" spans="1:26" ht="15">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row>
    <row r="749" spans="1:26" ht="15">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row>
    <row r="750" spans="1:26" ht="15">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row>
    <row r="751" spans="1:26" ht="15">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row>
    <row r="752" spans="1:26" ht="15">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row>
    <row r="753" spans="1:26" ht="15">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row>
    <row r="754" spans="1:26" ht="15">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row>
    <row r="755" spans="1:26" ht="15">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row>
    <row r="756" spans="1:26" ht="15">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row>
    <row r="757" spans="1:26" ht="15">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row>
    <row r="758" spans="1:26" ht="15">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row>
    <row r="759" spans="1:26" ht="15">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row>
    <row r="760" spans="1:26" ht="15">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row>
    <row r="761" spans="1:26" ht="15">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row>
    <row r="762" spans="1:26" ht="15">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row>
    <row r="763" spans="1:26" ht="15">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row>
    <row r="764" spans="1:26" ht="15">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row>
    <row r="765" spans="1:26" ht="15">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row>
    <row r="766" spans="1:26" ht="15">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row>
    <row r="767" spans="1:26" ht="15">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row>
    <row r="768" spans="1:26" ht="15">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row>
    <row r="769" spans="1:26" ht="15">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row>
    <row r="770" spans="1:26" ht="15">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row>
    <row r="771" spans="1:26" ht="15">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row>
    <row r="772" spans="1:26" ht="15">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row>
    <row r="773" spans="1:26" ht="15">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row>
    <row r="774" spans="1:26" ht="15">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row>
    <row r="775" spans="1:26" ht="15">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row>
    <row r="776" spans="1:26" ht="15">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row>
    <row r="777" spans="1:26" ht="15">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row>
    <row r="778" spans="1:26" ht="15">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row>
    <row r="779" spans="1:26" ht="15">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row>
    <row r="780" spans="1:26" ht="15">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row>
    <row r="781" spans="1:26" ht="15">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row>
    <row r="782" spans="1:26" ht="15">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row>
    <row r="783" spans="1:26" ht="15">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row>
    <row r="784" spans="1:26" ht="15">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row>
    <row r="785" spans="1:26" ht="15">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row>
    <row r="786" spans="1:26" ht="15">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row>
    <row r="787" spans="1:26" ht="15">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row>
    <row r="788" spans="1:26" ht="15">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row>
    <row r="789" spans="1:26" ht="15">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row>
    <row r="790" spans="1:26" ht="15">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row>
    <row r="791" spans="1:26" ht="15">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row>
    <row r="792" spans="1:26" ht="15">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row>
    <row r="793" spans="1:26" ht="15">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row>
    <row r="794" spans="1:26" ht="15">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row>
    <row r="795" spans="1:26" ht="15">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row>
    <row r="796" spans="1:26" ht="15">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row>
    <row r="797" spans="1:26" ht="15">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row>
    <row r="798" spans="1:26" ht="15">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row>
    <row r="799" spans="1:26" ht="15">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row>
    <row r="800" spans="1:26" ht="15">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row>
    <row r="801" spans="1:26" ht="15">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row>
    <row r="802" spans="1:26" ht="15">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row>
    <row r="803" spans="1:26" ht="15">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row>
    <row r="804" spans="1:26" ht="15">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row>
    <row r="805" spans="1:26" ht="15">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row>
    <row r="806" spans="1:26" ht="15">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row>
    <row r="807" spans="1:26" ht="15">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row>
    <row r="808" spans="1:26" ht="15">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row>
    <row r="809" spans="1:26" ht="15">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row>
    <row r="810" spans="1:26" ht="15">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row>
    <row r="811" spans="1:26" ht="15">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row>
    <row r="812" spans="1:26" ht="15">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row>
    <row r="813" spans="1:26" ht="15">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row>
    <row r="814" spans="1:26" ht="15">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row>
    <row r="815" spans="1:26" ht="15">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row>
    <row r="816" spans="1:26" ht="15">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row>
    <row r="817" spans="1:26" ht="15">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row>
    <row r="818" spans="1:26" ht="15">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row>
    <row r="819" spans="1:26" ht="15">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row>
    <row r="820" spans="1:26" ht="15">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row>
    <row r="821" spans="1:26" ht="15">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row>
    <row r="822" spans="1:26" ht="15">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row>
    <row r="823" spans="1:26" ht="15">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row>
    <row r="824" spans="1:26" ht="15">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row>
    <row r="825" spans="1:26" ht="15">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row>
    <row r="826" spans="1:26" ht="15">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row>
    <row r="827" spans="1:26" ht="15">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row>
    <row r="828" spans="1:26" ht="15">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row>
    <row r="829" spans="1:26" ht="15">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row>
    <row r="830" spans="1:26" ht="15">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row>
    <row r="831" spans="1:26" ht="15">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row>
    <row r="832" spans="1:26" ht="15">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row>
    <row r="833" spans="1:26" ht="15">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row>
    <row r="834" spans="1:26" ht="15">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row>
    <row r="835" spans="1:26" ht="15">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row>
    <row r="836" spans="1:26" ht="15">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row>
    <row r="837" spans="1:26" ht="15">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row>
    <row r="838" spans="1:26" ht="15">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row>
    <row r="839" spans="1:26" ht="15">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row>
    <row r="840" spans="1:26" ht="15">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row>
    <row r="841" spans="1:26" ht="15">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row>
    <row r="842" spans="1:26" ht="15">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row>
    <row r="843" spans="1:26" ht="15">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row>
    <row r="844" spans="1:26" ht="15">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row>
    <row r="845" spans="1:26" ht="15">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row>
    <row r="846" spans="1:26" ht="15">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row>
    <row r="847" spans="1:26" ht="15">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row>
    <row r="848" spans="1:26" ht="15">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row>
    <row r="849" spans="1:26" ht="15">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row>
    <row r="850" spans="1:26" ht="15">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row>
    <row r="851" spans="1:26" ht="15">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row>
    <row r="852" spans="1:26" ht="15">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row>
    <row r="853" spans="1:26" ht="15">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row>
    <row r="854" spans="1:26" ht="15">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row>
    <row r="855" spans="1:26" ht="15">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row>
    <row r="856" spans="1:26" ht="15">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row>
    <row r="857" spans="1:26" ht="15">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row>
    <row r="858" spans="1:26" ht="15">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row>
    <row r="859" spans="1:26" ht="15">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row>
    <row r="860" spans="1:26" ht="15">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row>
    <row r="861" spans="1:26" ht="15">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row>
    <row r="862" spans="1:26" ht="15">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row>
    <row r="863" spans="1:26" ht="15">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row>
    <row r="864" spans="1:26" ht="15">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row>
    <row r="865" spans="1:26" ht="15">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row>
    <row r="866" spans="1:26" ht="15">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row>
    <row r="867" spans="1:26" ht="15">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row>
    <row r="868" spans="1:26" ht="15">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row>
    <row r="869" spans="1:26" ht="15">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row>
    <row r="870" spans="1:26" ht="15">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row>
    <row r="871" spans="1:26" ht="15">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row>
    <row r="872" spans="1:26" ht="15">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row>
    <row r="873" spans="1:26" ht="15">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row>
    <row r="874" spans="1:26" ht="15">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row>
    <row r="875" spans="1:26" ht="15">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row>
    <row r="876" spans="1:26" ht="15">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row>
    <row r="877" spans="1:26" ht="15">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row>
    <row r="878" spans="1:26" ht="15">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row>
    <row r="879" spans="1:26" ht="15">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row>
    <row r="880" spans="1:26" ht="15">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row>
    <row r="881" spans="1:26" ht="15">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row>
    <row r="882" spans="1:26" ht="15">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row>
    <row r="883" spans="1:26" ht="15">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row>
    <row r="884" spans="1:26" ht="15">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row>
    <row r="885" spans="1:26" ht="15">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row>
    <row r="886" spans="1:26" ht="15">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row>
    <row r="887" spans="1:26" ht="15">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row>
    <row r="888" spans="1:26" ht="15">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row>
    <row r="889" spans="1:26" ht="15">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row>
    <row r="890" spans="1:26" ht="15">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row>
    <row r="891" spans="1:26" ht="15">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row>
    <row r="892" spans="1:26" ht="15">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row>
    <row r="893" spans="1:26" ht="15">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row>
    <row r="894" spans="1:26" ht="15">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row>
    <row r="895" spans="1:26" ht="15">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row>
    <row r="896" spans="1:26" ht="15">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row>
    <row r="897" spans="1:26" ht="15">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row>
    <row r="898" spans="1:26" ht="15">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row>
    <row r="899" spans="1:26" ht="15">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row>
    <row r="900" spans="1:26" ht="15">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row>
    <row r="901" spans="1:26" ht="15">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row>
    <row r="902" spans="1:26" ht="15">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row>
    <row r="903" spans="1:26" ht="15">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row>
    <row r="904" spans="1:26" ht="15">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row>
    <row r="905" spans="1:26" ht="15">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row>
    <row r="906" spans="1:26" ht="15">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row>
    <row r="907" spans="1:26" ht="15">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row>
    <row r="908" spans="1:26" ht="15">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row>
    <row r="909" spans="1:26" ht="15">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row>
    <row r="910" spans="1:26" ht="15">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row>
    <row r="911" spans="1:26" ht="15">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row>
    <row r="912" spans="1:26" ht="15">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row>
    <row r="913" spans="1:26" ht="15">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row>
    <row r="914" spans="1:26" ht="15">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row>
    <row r="915" spans="1:26" ht="15">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row>
    <row r="916" spans="1:26" ht="15">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row>
    <row r="917" spans="1:26" ht="15">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row>
    <row r="918" spans="1:26" ht="15">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row>
    <row r="919" spans="1:26" ht="15">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row>
    <row r="920" spans="1:26" ht="15">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row>
    <row r="921" spans="1:26" ht="15">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row>
    <row r="922" spans="1:26" ht="15">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row>
    <row r="923" spans="1:26" ht="15">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row>
    <row r="924" spans="1:26" ht="15">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row>
    <row r="925" spans="1:26" ht="15">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row>
    <row r="926" spans="1:26" ht="15">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row>
    <row r="927" spans="1:26" ht="15">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row>
    <row r="928" spans="1:26" ht="15">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row>
    <row r="929" spans="1:26" ht="15">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row>
    <row r="930" spans="1:26" ht="15">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row>
    <row r="931" spans="1:26" ht="15">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row>
    <row r="932" spans="1:26" ht="15">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row>
    <row r="933" spans="1:26" ht="15">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row>
    <row r="934" spans="1:26" ht="15">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row>
    <row r="935" spans="1:26" ht="15">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row>
    <row r="936" spans="1:26" ht="15">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row>
    <row r="937" spans="1:26" ht="15">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row>
    <row r="938" spans="1:26" ht="15">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row>
    <row r="939" spans="1:26" ht="15">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row>
    <row r="940" spans="1:26" ht="15">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row>
    <row r="941" spans="1:26" ht="15">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row>
    <row r="942" spans="1:26" ht="15">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row>
    <row r="943" spans="1:26" ht="15">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row>
    <row r="944" spans="1:26" ht="15">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row>
    <row r="945" spans="1:26" ht="15">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row>
    <row r="946" spans="1:26" ht="15">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row>
    <row r="947" spans="1:26" ht="15">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row>
    <row r="948" spans="1:26" ht="15">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row>
    <row r="949" spans="1:26" ht="15">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row>
    <row r="950" spans="1:26" ht="15">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row>
    <row r="951" spans="1:26" ht="15">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row>
    <row r="952" spans="1:26" ht="15">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row>
    <row r="953" spans="1:26" ht="15">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row>
    <row r="954" spans="1:26" ht="15">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row>
    <row r="955" spans="1:26" ht="15">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row>
    <row r="956" spans="1:26" ht="15">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row>
    <row r="957" spans="1:26" ht="15">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row>
    <row r="958" spans="1:26" ht="15">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row>
    <row r="959" spans="1:26" ht="15">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row>
    <row r="960" spans="1:26" ht="15">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row>
    <row r="961" spans="1:26" ht="15">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row>
    <row r="962" spans="1:26" ht="15">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row>
    <row r="963" spans="1:26" ht="15">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row>
    <row r="964" spans="1:26" ht="15">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row>
    <row r="965" spans="1:26" ht="15">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row>
    <row r="966" spans="1:26" ht="15">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row>
    <row r="967" spans="1:26" ht="15">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row>
    <row r="968" spans="1:26" ht="15">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row>
    <row r="969" spans="1:26" ht="15">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row>
    <row r="970" spans="1:26" ht="15">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row>
    <row r="971" spans="1:26" ht="15">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row>
    <row r="972" spans="1:26" ht="15">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row>
    <row r="973" spans="1:26" ht="15">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row>
    <row r="974" spans="1:26" ht="15">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row>
    <row r="975" spans="1:26" ht="15">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row>
    <row r="976" spans="1:26" ht="15">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row>
    <row r="977" spans="1:26" ht="15">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row>
    <row r="978" spans="1:26" ht="15">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row>
    <row r="979" spans="1:26" ht="15">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row>
    <row r="980" spans="1:26" ht="15">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row>
    <row r="981" spans="1:26" ht="15">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row>
    <row r="982" spans="1:26" ht="15">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row>
    <row r="983" spans="1:26" ht="15">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row>
    <row r="984" spans="1:26" ht="15">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row>
    <row r="985" spans="1:26" ht="15">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row>
    <row r="986" spans="1:26" ht="15">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row>
    <row r="987" spans="1:26" ht="15">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row>
    <row r="988" spans="1:26" ht="15">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row>
    <row r="989" spans="1:26" ht="15">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row>
    <row r="990" spans="1:26" ht="15">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row>
    <row r="991" spans="1:26" ht="15">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row>
    <row r="992" spans="1:26" ht="15">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row>
    <row r="993" spans="1:26" ht="15">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row>
    <row r="994" spans="1:26" ht="15">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row>
    <row r="995" spans="1:26" ht="15">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row>
    <row r="996" spans="1:26" ht="15">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row>
    <row r="997" spans="1:26" ht="15">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row>
    <row r="998" spans="1:26" ht="15">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row>
    <row r="999" spans="1:26" ht="15">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row>
    <row r="1000" spans="1:26" ht="15">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row>
    <row r="1001" spans="1:26" ht="15">
      <c r="A1001" s="81"/>
      <c r="B1001" s="81"/>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row>
    <row r="1002" spans="1:26" ht="15">
      <c r="A1002" s="81"/>
      <c r="B1002" s="81"/>
      <c r="C1002" s="81"/>
      <c r="D1002" s="81"/>
      <c r="E1002" s="81"/>
      <c r="F1002" s="81"/>
      <c r="G1002" s="81"/>
      <c r="H1002" s="81"/>
      <c r="I1002" s="81"/>
      <c r="J1002" s="81"/>
      <c r="K1002" s="81"/>
      <c r="L1002" s="81"/>
      <c r="M1002" s="81"/>
      <c r="N1002" s="81"/>
      <c r="O1002" s="81"/>
      <c r="P1002" s="81"/>
      <c r="Q1002" s="81"/>
      <c r="R1002" s="81"/>
      <c r="S1002" s="81"/>
      <c r="T1002" s="81"/>
      <c r="U1002" s="81"/>
      <c r="V1002" s="81"/>
      <c r="W1002" s="81"/>
      <c r="X1002" s="81"/>
      <c r="Y1002" s="81"/>
      <c r="Z1002" s="81"/>
    </row>
    <row r="1003" spans="1:26" ht="15">
      <c r="A1003" s="81"/>
      <c r="B1003" s="81"/>
      <c r="C1003" s="81"/>
      <c r="D1003" s="81"/>
      <c r="E1003" s="81"/>
      <c r="F1003" s="81"/>
      <c r="G1003" s="81"/>
      <c r="H1003" s="81"/>
      <c r="I1003" s="81"/>
      <c r="J1003" s="81"/>
      <c r="K1003" s="81"/>
      <c r="L1003" s="81"/>
      <c r="M1003" s="81"/>
      <c r="N1003" s="81"/>
      <c r="O1003" s="81"/>
      <c r="P1003" s="81"/>
      <c r="Q1003" s="81"/>
      <c r="R1003" s="81"/>
      <c r="S1003" s="81"/>
      <c r="T1003" s="81"/>
      <c r="U1003" s="81"/>
      <c r="V1003" s="81"/>
      <c r="W1003" s="81"/>
      <c r="X1003" s="81"/>
      <c r="Y1003" s="81"/>
      <c r="Z1003" s="81"/>
    </row>
  </sheetData>
  <hyperlinks>
    <hyperlink ref="A1" location="Index!A1" display="Index" xr:uid="{47C923B1-7D0B-4BCE-A6F0-6F57605D1C3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outlinePr summaryBelow="0" summaryRight="0"/>
  </sheetPr>
  <dimension ref="A1:Q61"/>
  <sheetViews>
    <sheetView topLeftCell="A5" workbookViewId="0">
      <selection activeCell="G39" sqref="G39"/>
    </sheetView>
  </sheetViews>
  <sheetFormatPr baseColWidth="10" defaultColWidth="14.33203125" defaultRowHeight="15.75" customHeight="1"/>
  <cols>
    <col min="1" max="1" width="46.5" customWidth="1"/>
    <col min="2" max="7" width="17.33203125" customWidth="1"/>
    <col min="8" max="8" width="28.1640625" customWidth="1"/>
  </cols>
  <sheetData>
    <row r="1" spans="1:9" ht="26">
      <c r="A1" s="116" t="s">
        <v>0</v>
      </c>
      <c r="B1" s="81"/>
      <c r="C1" s="81"/>
      <c r="D1" s="81"/>
      <c r="E1" s="81"/>
      <c r="F1" s="81"/>
      <c r="G1" s="81"/>
      <c r="H1" s="81"/>
    </row>
    <row r="3" spans="1:9" ht="15.75" customHeight="1">
      <c r="A3" s="22" t="str">
        <f>'FE Finance Assumptions'!B6</f>
        <v>PupPal</v>
      </c>
      <c r="B3" s="23"/>
      <c r="C3" s="23"/>
      <c r="D3" s="23"/>
      <c r="E3" s="23"/>
      <c r="F3" s="23"/>
      <c r="G3" s="23"/>
      <c r="H3" s="23"/>
    </row>
    <row r="5" spans="1:9" ht="15.75" customHeight="1">
      <c r="A5" s="891" t="s">
        <v>855</v>
      </c>
      <c r="I5" s="117"/>
    </row>
    <row r="6" spans="1:9" ht="15.75" customHeight="1">
      <c r="A6" s="890" t="s">
        <v>118</v>
      </c>
      <c r="B6" s="23"/>
      <c r="C6" s="23"/>
      <c r="D6" s="23"/>
      <c r="E6" s="23"/>
      <c r="F6" s="23"/>
      <c r="G6" s="23"/>
      <c r="H6" s="23"/>
    </row>
    <row r="7" spans="1:9" ht="15.75" customHeight="1">
      <c r="A7" s="24" t="s">
        <v>21</v>
      </c>
      <c r="B7" s="83" t="s">
        <v>119</v>
      </c>
      <c r="C7" s="83" t="s">
        <v>85</v>
      </c>
      <c r="D7" s="83" t="s">
        <v>86</v>
      </c>
      <c r="E7" s="83" t="s">
        <v>87</v>
      </c>
      <c r="F7" s="83" t="s">
        <v>88</v>
      </c>
      <c r="G7" s="83" t="s">
        <v>89</v>
      </c>
      <c r="H7" s="24"/>
    </row>
    <row r="8" spans="1:9" ht="15.75" customHeight="1">
      <c r="A8" s="24" t="s">
        <v>120</v>
      </c>
      <c r="B8" s="39"/>
      <c r="C8" s="39"/>
      <c r="D8" s="39"/>
      <c r="E8" s="39"/>
      <c r="F8" s="39"/>
      <c r="G8" s="39"/>
      <c r="H8" s="23"/>
      <c r="I8" s="119"/>
    </row>
    <row r="9" spans="1:9" ht="15.75" customHeight="1">
      <c r="A9" s="23" t="s">
        <v>121</v>
      </c>
      <c r="B9" s="1794">
        <v>0</v>
      </c>
      <c r="C9" s="1794">
        <f>MIN(('FE Finance Assumptions'!$B$65*'FE Income Statement'!C9),300000)</f>
        <v>107972.78890105301</v>
      </c>
      <c r="D9" s="1794">
        <f>0.05*'FE Income Statement'!D9</f>
        <v>156201.62567043107</v>
      </c>
      <c r="E9" s="1795">
        <f>MIN(0.05*'FE Income Statement'!E9,300000)</f>
        <v>300000</v>
      </c>
      <c r="F9" s="1795">
        <f>MIN(0.05*'FE Income Statement'!F9,300000)</f>
        <v>300000</v>
      </c>
      <c r="G9" s="1795">
        <f>MIN(0.05*'FE Income Statement'!G9,300000)</f>
        <v>300000</v>
      </c>
      <c r="H9" s="23"/>
    </row>
    <row r="10" spans="1:9" ht="15.75" customHeight="1">
      <c r="A10" s="23" t="s">
        <v>122</v>
      </c>
      <c r="B10" s="1794">
        <f>'FE Receivables Payables'!B9</f>
        <v>0</v>
      </c>
      <c r="C10" s="1794">
        <f>'FE Receivables Payables'!C9</f>
        <v>62712.962320611594</v>
      </c>
      <c r="D10" s="1794">
        <f>'FE Receivables Payables'!D9</f>
        <v>142079.28691118659</v>
      </c>
      <c r="E10" s="1794">
        <f>'FE Receivables Payables'!E9</f>
        <v>470892.71807483269</v>
      </c>
      <c r="F10" s="1794">
        <f>'FE Receivables Payables'!F9</f>
        <v>660157.12569278956</v>
      </c>
      <c r="G10" s="1794">
        <f>'FE Receivables Payables'!G9</f>
        <v>922447.97269328579</v>
      </c>
      <c r="H10" s="23"/>
    </row>
    <row r="11" spans="1:9" ht="15.75" customHeight="1">
      <c r="A11" s="23" t="s">
        <v>123</v>
      </c>
      <c r="B11" s="1794">
        <f>'FE Finance Assumptions'!B15</f>
        <v>15279.909752134474</v>
      </c>
      <c r="C11" s="1794">
        <f>'FE Finance Assumptions'!C57</f>
        <v>96116.84515798869</v>
      </c>
      <c r="D11" s="1794">
        <f>'FE Finance Assumptions'!D57</f>
        <v>143692.16752929013</v>
      </c>
      <c r="E11" s="1794">
        <f>'FE Finance Assumptions'!E57</f>
        <v>321651.2389721722</v>
      </c>
      <c r="F11" s="1794">
        <f>'FE Finance Assumptions'!F57</f>
        <v>390548.89757933462</v>
      </c>
      <c r="G11" s="1794">
        <f>'FE Finance Assumptions'!G57</f>
        <v>485381.53681183647</v>
      </c>
      <c r="H11" s="23"/>
    </row>
    <row r="12" spans="1:9" ht="15.75" customHeight="1">
      <c r="A12" s="23" t="s">
        <v>124</v>
      </c>
      <c r="B12" s="1796">
        <f>'FE Finance Assumptions'!B16</f>
        <v>13788.113245482979</v>
      </c>
      <c r="C12" s="1796">
        <f>'FE Finance Assumptions'!C58</f>
        <v>85264.047207834577</v>
      </c>
      <c r="D12" s="1796">
        <f>'FE Finance Assumptions'!D58</f>
        <v>108951.24664592973</v>
      </c>
      <c r="E12" s="1796">
        <f>'FE Finance Assumptions'!E58</f>
        <v>227171.31304759328</v>
      </c>
      <c r="F12" s="1796">
        <f>'FE Finance Assumptions'!F58</f>
        <v>266162.78199718357</v>
      </c>
      <c r="G12" s="1796">
        <f>'FE Finance Assumptions'!G58</f>
        <v>322462.43855575938</v>
      </c>
      <c r="H12" s="23"/>
    </row>
    <row r="13" spans="1:9" ht="15.75" customHeight="1">
      <c r="A13" s="23" t="s">
        <v>125</v>
      </c>
      <c r="B13" s="1794">
        <f t="shared" ref="B13:G13" si="0">SUM(B9:B12)</f>
        <v>29068.022997617452</v>
      </c>
      <c r="C13" s="1794">
        <f t="shared" si="0"/>
        <v>352066.64358748787</v>
      </c>
      <c r="D13" s="1794">
        <f t="shared" si="0"/>
        <v>550924.32675683754</v>
      </c>
      <c r="E13" s="1794">
        <f t="shared" si="0"/>
        <v>1319715.2700945982</v>
      </c>
      <c r="F13" s="1794">
        <f t="shared" si="0"/>
        <v>1616868.8052693077</v>
      </c>
      <c r="G13" s="1794">
        <f t="shared" si="0"/>
        <v>2030291.9480608818</v>
      </c>
      <c r="H13" s="23"/>
    </row>
    <row r="14" spans="1:9" ht="15.75" customHeight="1">
      <c r="A14" s="24" t="s">
        <v>126</v>
      </c>
      <c r="B14" s="1794"/>
      <c r="C14" s="1794"/>
      <c r="D14" s="1794"/>
      <c r="E14" s="1794"/>
      <c r="F14" s="1794"/>
      <c r="G14" s="1794"/>
      <c r="H14" s="23"/>
    </row>
    <row r="15" spans="1:9" ht="15.75" customHeight="1">
      <c r="A15" s="23" t="s">
        <v>127</v>
      </c>
      <c r="B15" s="1794">
        <f>'OM Depreciation'!B16</f>
        <v>366383.26</v>
      </c>
      <c r="C15" s="1794">
        <f>'OM Depreciation'!C16</f>
        <v>366383.26</v>
      </c>
      <c r="D15" s="1794">
        <f>'OM Depreciation'!D16</f>
        <v>366383.26</v>
      </c>
      <c r="E15" s="1794">
        <f>'OM Depreciation'!E16</f>
        <v>385651.26</v>
      </c>
      <c r="F15" s="1794">
        <f>'OM Depreciation'!F16</f>
        <v>385651.26</v>
      </c>
      <c r="G15" s="1794">
        <f>'OM Depreciation'!G16</f>
        <v>385651.26</v>
      </c>
      <c r="H15" s="23"/>
    </row>
    <row r="16" spans="1:9" ht="15.75" customHeight="1">
      <c r="A16" s="13" t="s">
        <v>128</v>
      </c>
      <c r="B16" s="1796">
        <f>('FE Income Statement'!B21+'FE Income Statement'!B22)</f>
        <v>0</v>
      </c>
      <c r="C16" s="1796">
        <f>1*('FE Income Statement'!C21+'FE Income Statement'!C22+B16)</f>
        <v>-74409.98533333333</v>
      </c>
      <c r="D16" s="1796">
        <f>1*('FE Income Statement'!D21+'FE Income Statement'!D22+C16)</f>
        <v>-148819.97066666666</v>
      </c>
      <c r="E16" s="1796">
        <f>1*('FE Income Statement'!E21+'FE Income Statement'!E22+D16)</f>
        <v>-223229.95600000001</v>
      </c>
      <c r="F16" s="1796">
        <f>1*('FE Income Statement'!F21+'FE Income Statement'!F22+E16)</f>
        <v>-300841.38800000004</v>
      </c>
      <c r="G16" s="1796">
        <f>1*('FE Income Statement'!G21+'FE Income Statement'!G22+F16)</f>
        <v>-378452.82000000007</v>
      </c>
      <c r="H16" s="23"/>
    </row>
    <row r="17" spans="1:16" ht="15.75" customHeight="1">
      <c r="A17" s="23" t="s">
        <v>129</v>
      </c>
      <c r="B17" s="1796">
        <f t="shared" ref="B17:G17" si="1">SUM(B15:B16)</f>
        <v>366383.26</v>
      </c>
      <c r="C17" s="1796">
        <f t="shared" si="1"/>
        <v>291973.27466666669</v>
      </c>
      <c r="D17" s="1796">
        <f t="shared" si="1"/>
        <v>217563.28933333335</v>
      </c>
      <c r="E17" s="1796">
        <f t="shared" si="1"/>
        <v>162421.304</v>
      </c>
      <c r="F17" s="1796">
        <f t="shared" si="1"/>
        <v>84809.871999999974</v>
      </c>
      <c r="G17" s="1796">
        <f t="shared" si="1"/>
        <v>7198.4399999999441</v>
      </c>
      <c r="H17" s="23"/>
      <c r="I17" s="85"/>
    </row>
    <row r="18" spans="1:16" ht="15.75" customHeight="1">
      <c r="A18" s="23"/>
      <c r="B18" s="1794"/>
      <c r="C18" s="1794"/>
      <c r="D18" s="1794"/>
      <c r="E18" s="1794"/>
      <c r="F18" s="1794"/>
      <c r="G18" s="1794"/>
      <c r="H18" s="23"/>
    </row>
    <row r="19" spans="1:16" ht="17" thickBot="1">
      <c r="A19" s="24" t="s">
        <v>130</v>
      </c>
      <c r="B19" s="1797">
        <f t="shared" ref="B19:G19" si="2">B13+B17</f>
        <v>395451.28299761744</v>
      </c>
      <c r="C19" s="1797">
        <f t="shared" si="2"/>
        <v>644039.9182541545</v>
      </c>
      <c r="D19" s="1797">
        <f t="shared" si="2"/>
        <v>768487.61609017092</v>
      </c>
      <c r="E19" s="1797">
        <f t="shared" si="2"/>
        <v>1482136.5740945982</v>
      </c>
      <c r="F19" s="1797">
        <f t="shared" si="2"/>
        <v>1701678.6772693077</v>
      </c>
      <c r="G19" s="1797">
        <f t="shared" si="2"/>
        <v>2037490.3880608818</v>
      </c>
      <c r="H19" s="23"/>
    </row>
    <row r="20" spans="1:16" ht="17" thickTop="1">
      <c r="A20" s="24"/>
      <c r="B20" s="1794"/>
      <c r="C20" s="1794"/>
      <c r="D20" s="1794"/>
      <c r="E20" s="1794"/>
      <c r="F20" s="1794"/>
      <c r="G20" s="1794"/>
      <c r="H20" s="23"/>
    </row>
    <row r="21" spans="1:16" ht="16">
      <c r="A21" s="24" t="s">
        <v>131</v>
      </c>
      <c r="B21" s="1794"/>
      <c r="C21" s="1794"/>
      <c r="D21" s="1794"/>
      <c r="E21" s="1794"/>
      <c r="F21" s="1794"/>
      <c r="G21" s="1794"/>
      <c r="H21" s="23"/>
    </row>
    <row r="22" spans="1:16" ht="16">
      <c r="A22" s="23" t="s">
        <v>132</v>
      </c>
      <c r="B22" s="1796">
        <f>'FE Receivables Payables'!B17</f>
        <v>4269.3917808219176</v>
      </c>
      <c r="C22" s="1796">
        <f>'FE Receivables Payables'!C17</f>
        <v>21969.144657534249</v>
      </c>
      <c r="D22" s="1796">
        <f>'FE Receivables Payables'!D17</f>
        <v>38514.183254794531</v>
      </c>
      <c r="E22" s="1796">
        <f>'FE Receivables Payables'!E17</f>
        <v>80932.673227397274</v>
      </c>
      <c r="F22" s="1796">
        <f>'FE Receivables Payables'!F17</f>
        <v>100452.02005479454</v>
      </c>
      <c r="G22" s="1796">
        <f>'FE Receivables Payables'!G17</f>
        <v>123846.51677808221</v>
      </c>
      <c r="H22" s="23"/>
    </row>
    <row r="23" spans="1:16" ht="16">
      <c r="A23" s="23" t="s">
        <v>133</v>
      </c>
      <c r="B23" s="1794">
        <f t="shared" ref="B23:G23" si="3">B22</f>
        <v>4269.3917808219176</v>
      </c>
      <c r="C23" s="1794">
        <f t="shared" si="3"/>
        <v>21969.144657534249</v>
      </c>
      <c r="D23" s="1794">
        <f t="shared" si="3"/>
        <v>38514.183254794531</v>
      </c>
      <c r="E23" s="1794">
        <f t="shared" si="3"/>
        <v>80932.673227397274</v>
      </c>
      <c r="F23" s="1794">
        <f t="shared" si="3"/>
        <v>100452.02005479454</v>
      </c>
      <c r="G23" s="1794">
        <f t="shared" si="3"/>
        <v>123846.51677808221</v>
      </c>
      <c r="H23" s="23"/>
      <c r="P23" s="15"/>
    </row>
    <row r="24" spans="1:16" ht="16">
      <c r="A24" s="24" t="s">
        <v>134</v>
      </c>
      <c r="B24" s="1794"/>
      <c r="C24" s="1794"/>
      <c r="D24" s="1794"/>
      <c r="E24" s="1794"/>
      <c r="F24" s="1794"/>
      <c r="G24" s="1794"/>
      <c r="H24" s="23"/>
    </row>
    <row r="25" spans="1:16" ht="16">
      <c r="A25" s="23" t="s">
        <v>135</v>
      </c>
      <c r="B25" s="1794">
        <f>IF('FE Cash Flow'!B14&lt;0,-'FE Cash Flow'!B14,0)</f>
        <v>1128684.5003217291</v>
      </c>
      <c r="C25" s="1794">
        <f>IF('FE Cash Flow'!C14&lt;0,-'FE Cash Flow'!C14,0)+B25</f>
        <v>1215242.3269034023</v>
      </c>
      <c r="D25" s="1794">
        <f>IF('FE Cash Flow'!D14&lt;0,-'FE Cash Flow'!D14,0)+C25</f>
        <v>1215242.3269034023</v>
      </c>
      <c r="E25" s="1794">
        <f>IF('FE Cash Flow'!E14&lt;0,-'FE Cash Flow'!E14,0)+D25</f>
        <v>1215242.3269034023</v>
      </c>
      <c r="F25" s="1794">
        <f>IF('FE Cash Flow'!F14&lt;0,-'FE Cash Flow'!F14,0)+E25</f>
        <v>1215242.3269034023</v>
      </c>
      <c r="G25" s="1794">
        <f>IF('FE Cash Flow'!G14&lt;0,-'FE Cash Flow'!G14,0)+F25</f>
        <v>1215242.3269034023</v>
      </c>
      <c r="H25" s="23"/>
    </row>
    <row r="26" spans="1:16" ht="16">
      <c r="A26" s="23" t="s">
        <v>136</v>
      </c>
      <c r="B26" s="1794">
        <f>'FE Income Statement'!B31</f>
        <v>-737502.60910493333</v>
      </c>
      <c r="C26" s="1794">
        <f>'FE Income Statement'!C31</f>
        <v>-593171.55330678169</v>
      </c>
      <c r="D26" s="1794">
        <f>'FE Income Statement'!D31</f>
        <v>-485268.89406802563</v>
      </c>
      <c r="E26" s="1794">
        <f>'FE Income Statement'!E31</f>
        <v>185961.57396379905</v>
      </c>
      <c r="F26" s="1794">
        <f>'FE Income Statement'!F31</f>
        <v>385984.33031111117</v>
      </c>
      <c r="G26" s="1794">
        <f>'FE Income Statement'!G31</f>
        <v>698401.54437939776</v>
      </c>
      <c r="H26" s="23"/>
      <c r="I26" s="120"/>
    </row>
    <row r="27" spans="1:16" ht="16">
      <c r="A27" s="23" t="s">
        <v>137</v>
      </c>
      <c r="B27" s="1794">
        <f t="shared" ref="B27:G27" si="4">SUM(B25:B26)</f>
        <v>391181.89121679578</v>
      </c>
      <c r="C27" s="1794">
        <f t="shared" si="4"/>
        <v>622070.77359662065</v>
      </c>
      <c r="D27" s="1794">
        <f t="shared" si="4"/>
        <v>729973.43283537671</v>
      </c>
      <c r="E27" s="1794">
        <f t="shared" si="4"/>
        <v>1401203.9008672014</v>
      </c>
      <c r="F27" s="1794">
        <f t="shared" si="4"/>
        <v>1601226.6572145135</v>
      </c>
      <c r="G27" s="1794">
        <f t="shared" si="4"/>
        <v>1913643.8712828001</v>
      </c>
      <c r="H27" s="23"/>
    </row>
    <row r="28" spans="1:16" ht="16">
      <c r="A28" s="23"/>
      <c r="B28" s="1794"/>
      <c r="C28" s="1794"/>
      <c r="D28" s="1794"/>
      <c r="E28" s="1794"/>
      <c r="F28" s="1794"/>
      <c r="G28" s="1794"/>
      <c r="H28" s="23"/>
    </row>
    <row r="29" spans="1:16" ht="16">
      <c r="A29" s="24" t="s">
        <v>138</v>
      </c>
      <c r="B29" s="1796">
        <f t="shared" ref="B29:G29" si="5">B23+B27</f>
        <v>395451.28299761767</v>
      </c>
      <c r="C29" s="1796">
        <f t="shared" si="5"/>
        <v>644039.91825415485</v>
      </c>
      <c r="D29" s="1796">
        <f t="shared" si="5"/>
        <v>768487.61609017127</v>
      </c>
      <c r="E29" s="1796">
        <f t="shared" si="5"/>
        <v>1482136.5740945986</v>
      </c>
      <c r="F29" s="1796">
        <f t="shared" si="5"/>
        <v>1701678.6772693081</v>
      </c>
      <c r="G29" s="1796">
        <f t="shared" si="5"/>
        <v>2037490.3880608822</v>
      </c>
      <c r="H29" s="23"/>
    </row>
    <row r="30" spans="1:16" ht="16">
      <c r="A30" s="23"/>
      <c r="B30" s="1794"/>
      <c r="C30" s="1794"/>
      <c r="D30" s="1794"/>
      <c r="E30" s="1794"/>
      <c r="F30" s="1794"/>
      <c r="G30" s="1794"/>
      <c r="H30" s="23"/>
    </row>
    <row r="31" spans="1:16" ht="16">
      <c r="A31" s="23"/>
      <c r="B31" s="1794"/>
      <c r="C31" s="1794"/>
      <c r="D31" s="1794"/>
      <c r="E31" s="1794"/>
      <c r="F31" s="1794"/>
      <c r="G31" s="1794"/>
      <c r="H31" s="23"/>
    </row>
    <row r="32" spans="1:16" ht="16">
      <c r="A32" s="23" t="s">
        <v>139</v>
      </c>
      <c r="B32" s="1798">
        <f t="shared" ref="B32:G32" si="6">B19-B29</f>
        <v>0</v>
      </c>
      <c r="C32" s="1798">
        <f t="shared" si="6"/>
        <v>0</v>
      </c>
      <c r="D32" s="1798">
        <f t="shared" si="6"/>
        <v>0</v>
      </c>
      <c r="E32" s="1798">
        <f t="shared" si="6"/>
        <v>0</v>
      </c>
      <c r="F32" s="1798">
        <f t="shared" si="6"/>
        <v>0</v>
      </c>
      <c r="G32" s="1798">
        <f t="shared" si="6"/>
        <v>0</v>
      </c>
      <c r="H32" s="23"/>
    </row>
    <row r="33" spans="1:17" ht="16">
      <c r="A33" s="23"/>
      <c r="B33" s="1794"/>
      <c r="C33" s="1794"/>
      <c r="D33" s="1794"/>
      <c r="E33" s="1794"/>
      <c r="F33" s="1794"/>
      <c r="G33" s="1794"/>
      <c r="H33" s="23"/>
    </row>
    <row r="34" spans="1:17" ht="34">
      <c r="A34" s="59" t="s">
        <v>140</v>
      </c>
      <c r="B34" s="1794">
        <f>B13-B23</f>
        <v>24798.631216795533</v>
      </c>
      <c r="C34" s="1794">
        <f t="shared" ref="C34:G34" si="7">(C13-C23)</f>
        <v>330097.49892995361</v>
      </c>
      <c r="D34" s="1794">
        <f t="shared" si="7"/>
        <v>512410.14350204304</v>
      </c>
      <c r="E34" s="1794">
        <f t="shared" si="7"/>
        <v>1238782.5968672009</v>
      </c>
      <c r="F34" s="1794">
        <f t="shared" si="7"/>
        <v>1516416.7852145131</v>
      </c>
      <c r="G34" s="1794">
        <f t="shared" si="7"/>
        <v>1906445.4312827997</v>
      </c>
      <c r="H34" s="23"/>
    </row>
    <row r="35" spans="1:17" ht="16">
      <c r="A35" s="59"/>
      <c r="B35" s="23"/>
      <c r="C35" s="23"/>
      <c r="D35" s="23"/>
      <c r="E35" s="23"/>
      <c r="F35" s="23"/>
      <c r="G35" s="23"/>
      <c r="H35" s="23"/>
    </row>
    <row r="36" spans="1:17" ht="16">
      <c r="A36" s="24" t="s">
        <v>141</v>
      </c>
      <c r="B36" s="23"/>
      <c r="C36" s="23"/>
      <c r="D36" s="23"/>
      <c r="E36" s="23"/>
      <c r="F36" s="23"/>
      <c r="G36" s="23"/>
      <c r="H36" s="23"/>
    </row>
    <row r="37" spans="1:17" ht="16">
      <c r="A37" s="23" t="s">
        <v>142</v>
      </c>
      <c r="B37" s="25">
        <f>(B10/'FE Income Statement'!C9)*365</f>
        <v>0</v>
      </c>
      <c r="C37" s="25">
        <f>(C10/'FE Income Statement'!C9)*365</f>
        <v>10.6</v>
      </c>
      <c r="D37" s="25">
        <f>(D10/'FE Income Statement'!D9)*365</f>
        <v>16.599999999999998</v>
      </c>
      <c r="E37" s="25">
        <f>(E10/'FE Income Statement'!E9)*365</f>
        <v>23.2</v>
      </c>
      <c r="F37" s="25">
        <f>(F10/'FE Income Statement'!F9)*365</f>
        <v>27.194999999999997</v>
      </c>
      <c r="G37" s="25">
        <f>(G10/'FE Income Statement'!G9)*365</f>
        <v>30.599999999999987</v>
      </c>
      <c r="H37" s="23"/>
    </row>
    <row r="38" spans="1:17" ht="16">
      <c r="A38" s="23" t="s">
        <v>143</v>
      </c>
      <c r="B38" s="25">
        <f>(B22/-'FE Income Statement'!C13)*365</f>
        <v>1.3828545199182543</v>
      </c>
      <c r="C38" s="25">
        <f>(C22/-'FE Income Statement'!C13)*365</f>
        <v>7.1157983497500918</v>
      </c>
      <c r="D38" s="25">
        <f>(D22/-'FE Income Statement'!D13)*365</f>
        <v>8.8950383735400056</v>
      </c>
      <c r="E38" s="25">
        <f>(E22/-'FE Income Statement'!E13)*365</f>
        <v>10.128358009806833</v>
      </c>
      <c r="F38" s="25">
        <f>(F22/-'FE Income Statement'!F13)*365</f>
        <v>10.575614669901165</v>
      </c>
      <c r="G38" s="25">
        <f>(G22/-'FE Income Statement'!G13)*365</f>
        <v>10.958071591083112</v>
      </c>
      <c r="H38" s="23"/>
    </row>
    <row r="39" spans="1:17" ht="16">
      <c r="A39" s="23" t="s">
        <v>144</v>
      </c>
      <c r="B39" s="25">
        <f>(B12/-'FE Income Statement'!C13)*365</f>
        <v>4.4659651073273565</v>
      </c>
      <c r="C39" s="25">
        <f>(C12/-'FE Income Statement'!C13)*365</f>
        <v>27.616995375668839</v>
      </c>
      <c r="D39" s="25">
        <f>(D12/-'FE Income Statement'!D13)*365</f>
        <v>25.162821533802688</v>
      </c>
      <c r="E39" s="25">
        <f>(E12/-'FE Income Statement'!E13)*365</f>
        <v>28.429462371014793</v>
      </c>
      <c r="F39" s="25">
        <f>(F12/-'FE Income Statement'!F13)*365</f>
        <v>28.02168657569738</v>
      </c>
      <c r="G39" s="25">
        <f>(G12/-'FE Income Statement'!G13)*365</f>
        <v>28.531819699547697</v>
      </c>
      <c r="H39" s="23"/>
    </row>
    <row r="40" spans="1:17" ht="16">
      <c r="A40" s="3"/>
      <c r="B40" s="3"/>
      <c r="C40" s="3"/>
      <c r="D40" s="3"/>
      <c r="E40" s="3"/>
      <c r="F40" s="3"/>
      <c r="G40" s="3"/>
      <c r="H40" s="3"/>
    </row>
    <row r="41" spans="1:17" ht="16">
      <c r="A41" s="3"/>
      <c r="B41" s="3"/>
      <c r="C41" s="3"/>
      <c r="D41" s="3"/>
      <c r="E41" s="3"/>
      <c r="F41" s="3"/>
      <c r="G41" s="3"/>
      <c r="H41" s="3"/>
    </row>
    <row r="42" spans="1:17" ht="16">
      <c r="A42" s="3"/>
      <c r="B42" s="3"/>
      <c r="C42" s="3"/>
      <c r="D42" s="3"/>
      <c r="E42" s="3"/>
      <c r="F42" s="3"/>
      <c r="G42" s="3"/>
      <c r="H42" s="3"/>
    </row>
    <row r="43" spans="1:17" ht="16">
      <c r="A43" s="3"/>
      <c r="B43" s="3"/>
      <c r="C43" s="3"/>
      <c r="D43" s="3"/>
      <c r="E43" s="3"/>
      <c r="F43" s="3"/>
      <c r="G43" s="3"/>
      <c r="H43" s="3"/>
    </row>
    <row r="44" spans="1:17" ht="16">
      <c r="A44" s="3"/>
      <c r="B44" s="3"/>
      <c r="C44" s="3"/>
      <c r="D44" s="3"/>
      <c r="E44" s="3"/>
      <c r="F44" s="3"/>
      <c r="G44" s="3"/>
      <c r="H44" s="3"/>
    </row>
    <row r="45" spans="1:17" ht="16">
      <c r="A45" s="3"/>
      <c r="B45" s="3"/>
      <c r="C45" s="3"/>
      <c r="D45" s="3"/>
      <c r="E45" s="3"/>
      <c r="F45" s="3"/>
      <c r="G45" s="3"/>
      <c r="H45" s="3"/>
    </row>
    <row r="46" spans="1:17" ht="16">
      <c r="A46" s="3"/>
      <c r="B46" s="3"/>
      <c r="C46" s="3"/>
      <c r="D46" s="3"/>
      <c r="E46" s="3"/>
      <c r="F46" s="3"/>
      <c r="G46" s="3"/>
      <c r="H46" s="3"/>
    </row>
    <row r="47" spans="1:17" ht="16">
      <c r="A47" s="3"/>
      <c r="B47" s="3"/>
      <c r="C47" s="3"/>
      <c r="D47" s="3"/>
      <c r="E47" s="3"/>
      <c r="F47" s="3"/>
      <c r="G47" s="3"/>
      <c r="H47" s="3"/>
    </row>
    <row r="48" spans="1:17" ht="16">
      <c r="A48" s="3"/>
      <c r="B48" s="3"/>
      <c r="C48" s="3"/>
      <c r="D48" s="3"/>
      <c r="E48" s="3"/>
      <c r="F48" s="3"/>
      <c r="G48" s="3"/>
      <c r="H48" s="3"/>
      <c r="Q48" s="121"/>
    </row>
    <row r="49" spans="1:8" ht="16">
      <c r="A49" s="3"/>
      <c r="B49" s="3"/>
      <c r="C49" s="3"/>
      <c r="D49" s="3"/>
      <c r="E49" s="3"/>
      <c r="F49" s="3"/>
      <c r="G49" s="3"/>
      <c r="H49" s="3"/>
    </row>
    <row r="50" spans="1:8" ht="16">
      <c r="A50" s="3"/>
      <c r="B50" s="3"/>
      <c r="C50" s="3"/>
      <c r="D50" s="3"/>
      <c r="E50" s="3"/>
      <c r="F50" s="3"/>
      <c r="G50" s="3"/>
      <c r="H50" s="3"/>
    </row>
    <row r="51" spans="1:8" ht="16">
      <c r="A51" s="3"/>
      <c r="B51" s="3"/>
      <c r="C51" s="3"/>
      <c r="D51" s="3"/>
      <c r="E51" s="3"/>
      <c r="F51" s="3"/>
      <c r="G51" s="3"/>
      <c r="H51" s="3"/>
    </row>
    <row r="52" spans="1:8" ht="16">
      <c r="A52" s="3"/>
      <c r="B52" s="3"/>
      <c r="C52" s="3"/>
      <c r="D52" s="3"/>
      <c r="E52" s="3"/>
      <c r="F52" s="3"/>
      <c r="G52" s="3"/>
      <c r="H52" s="3"/>
    </row>
    <row r="53" spans="1:8" ht="16">
      <c r="A53" s="3"/>
      <c r="B53" s="3"/>
      <c r="C53" s="3"/>
      <c r="D53" s="3"/>
      <c r="E53" s="3"/>
      <c r="F53" s="3"/>
      <c r="G53" s="3"/>
      <c r="H53" s="3"/>
    </row>
    <row r="54" spans="1:8" ht="16">
      <c r="A54" s="3"/>
      <c r="B54" s="3"/>
      <c r="C54" s="3"/>
      <c r="D54" s="3"/>
      <c r="E54" s="3"/>
      <c r="F54" s="3"/>
      <c r="G54" s="3"/>
      <c r="H54" s="3"/>
    </row>
    <row r="55" spans="1:8" ht="16">
      <c r="A55" s="3"/>
      <c r="B55" s="3"/>
      <c r="C55" s="3"/>
      <c r="D55" s="3"/>
      <c r="E55" s="3"/>
      <c r="F55" s="3"/>
      <c r="G55" s="3"/>
      <c r="H55" s="3"/>
    </row>
    <row r="56" spans="1:8" ht="16">
      <c r="A56" s="3"/>
      <c r="B56" s="3"/>
      <c r="C56" s="3"/>
      <c r="D56" s="3"/>
      <c r="E56" s="3"/>
      <c r="F56" s="3"/>
      <c r="G56" s="3"/>
      <c r="H56" s="3"/>
    </row>
    <row r="57" spans="1:8" ht="16">
      <c r="A57" s="3"/>
      <c r="B57" s="3"/>
      <c r="C57" s="3"/>
      <c r="D57" s="3"/>
      <c r="E57" s="3"/>
      <c r="F57" s="3"/>
      <c r="G57" s="3"/>
      <c r="H57" s="3"/>
    </row>
    <row r="58" spans="1:8" ht="16">
      <c r="A58" s="3"/>
      <c r="B58" s="3"/>
      <c r="C58" s="3"/>
      <c r="D58" s="3"/>
      <c r="E58" s="3"/>
      <c r="F58" s="3"/>
      <c r="G58" s="3"/>
      <c r="H58" s="3"/>
    </row>
    <row r="59" spans="1:8" ht="16">
      <c r="A59" s="3"/>
      <c r="B59" s="3"/>
      <c r="C59" s="3"/>
      <c r="D59" s="3"/>
      <c r="E59" s="3"/>
      <c r="F59" s="3"/>
      <c r="G59" s="3"/>
      <c r="H59" s="3"/>
    </row>
    <row r="60" spans="1:8" ht="16">
      <c r="A60" s="3"/>
      <c r="B60" s="3"/>
      <c r="C60" s="3"/>
      <c r="D60" s="3"/>
      <c r="E60" s="3"/>
      <c r="F60" s="3"/>
      <c r="G60" s="3"/>
      <c r="H60" s="3"/>
    </row>
    <row r="61" spans="1:8" ht="16">
      <c r="A61" s="3"/>
      <c r="B61" s="3"/>
      <c r="C61" s="3"/>
      <c r="D61" s="3"/>
      <c r="E61" s="3"/>
      <c r="F61" s="3"/>
      <c r="G61" s="3"/>
      <c r="H61" s="3"/>
    </row>
  </sheetData>
  <hyperlinks>
    <hyperlink ref="A1" location="Index!A1" display="Index" xr:uid="{00000000-0004-0000-0F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outlinePr summaryBelow="0" summaryRight="0"/>
  </sheetPr>
  <dimension ref="A1:W41"/>
  <sheetViews>
    <sheetView zoomScale="87" zoomScaleNormal="70" workbookViewId="0">
      <selection activeCell="M24" sqref="M24"/>
    </sheetView>
  </sheetViews>
  <sheetFormatPr baseColWidth="10" defaultColWidth="14.33203125" defaultRowHeight="15.75" customHeight="1"/>
  <cols>
    <col min="1" max="1" width="40.83203125" customWidth="1"/>
    <col min="2" max="2" width="18.6640625" bestFit="1" customWidth="1"/>
    <col min="3" max="3" width="16.83203125" bestFit="1" customWidth="1"/>
    <col min="4" max="7" width="15" bestFit="1" customWidth="1"/>
    <col min="8" max="8" width="28.1640625" customWidth="1"/>
    <col min="9" max="9" width="58" customWidth="1"/>
    <col min="10" max="10" width="18" customWidth="1"/>
    <col min="11" max="11" width="11.33203125" customWidth="1"/>
    <col min="12" max="12" width="17.83203125" bestFit="1" customWidth="1"/>
    <col min="13" max="13" width="10.6640625" customWidth="1"/>
  </cols>
  <sheetData>
    <row r="1" spans="1:23" ht="26">
      <c r="A1" s="116" t="s">
        <v>0</v>
      </c>
      <c r="B1" s="81"/>
      <c r="C1" s="81"/>
      <c r="D1" s="81"/>
      <c r="E1" s="81"/>
      <c r="F1" s="81"/>
      <c r="G1" s="81"/>
      <c r="H1" s="81"/>
      <c r="I1" s="81"/>
      <c r="J1" s="81"/>
      <c r="K1" s="81"/>
    </row>
    <row r="2" spans="1:23" ht="15.75" customHeight="1">
      <c r="M2" s="3"/>
      <c r="N2" s="3"/>
      <c r="O2" s="3"/>
      <c r="P2" s="3"/>
      <c r="Q2" s="3"/>
      <c r="R2" s="3"/>
      <c r="S2" s="3"/>
      <c r="T2" s="3"/>
      <c r="U2" s="3"/>
      <c r="V2" s="3"/>
      <c r="W2" s="3"/>
    </row>
    <row r="3" spans="1:23" ht="15.75" customHeight="1">
      <c r="A3" s="22" t="str">
        <f>'FE Finance Assumptions'!B6</f>
        <v>PupPal</v>
      </c>
      <c r="B3" s="23"/>
      <c r="C3" s="23"/>
      <c r="D3" s="23"/>
      <c r="E3" s="23"/>
      <c r="F3" s="23"/>
      <c r="G3" s="23"/>
      <c r="H3" s="122"/>
      <c r="I3" s="13"/>
      <c r="J3" s="23"/>
      <c r="K3" s="23"/>
      <c r="L3" s="3"/>
      <c r="M3" s="3"/>
      <c r="N3" s="3"/>
      <c r="O3" s="3"/>
      <c r="P3" s="3"/>
      <c r="Q3" s="3"/>
      <c r="R3" s="3"/>
      <c r="S3" s="3"/>
      <c r="T3" s="3"/>
      <c r="U3" s="3"/>
      <c r="V3" s="3"/>
      <c r="W3" s="3"/>
    </row>
    <row r="4" spans="1:23" ht="15.75" customHeight="1">
      <c r="L4" s="3"/>
      <c r="M4" s="3"/>
      <c r="N4" s="3"/>
      <c r="O4" s="3"/>
      <c r="P4" s="3"/>
      <c r="Q4" s="3"/>
      <c r="R4" s="3"/>
      <c r="S4" s="3"/>
      <c r="T4" s="3"/>
      <c r="U4" s="3"/>
      <c r="V4" s="3"/>
      <c r="W4" s="3"/>
    </row>
    <row r="5" spans="1:23" ht="15.75" customHeight="1">
      <c r="A5" s="891" t="s">
        <v>855</v>
      </c>
      <c r="L5" s="3"/>
      <c r="M5" s="3"/>
      <c r="N5" s="3"/>
      <c r="O5" s="3"/>
      <c r="P5" s="3"/>
      <c r="Q5" s="3"/>
      <c r="R5" s="3"/>
      <c r="S5" s="3"/>
      <c r="T5" s="3"/>
      <c r="U5" s="3"/>
      <c r="V5" s="3"/>
      <c r="W5" s="3"/>
    </row>
    <row r="6" spans="1:23" ht="15.75" customHeight="1" thickBot="1">
      <c r="A6" s="890" t="s">
        <v>145</v>
      </c>
      <c r="B6" s="23"/>
      <c r="C6" s="23"/>
      <c r="D6" s="23"/>
      <c r="E6" s="23"/>
      <c r="F6" s="23"/>
      <c r="G6" s="23"/>
      <c r="H6" s="23"/>
      <c r="I6" s="13"/>
      <c r="J6" s="123"/>
      <c r="K6" s="23"/>
      <c r="L6" s="3"/>
      <c r="M6" s="3"/>
      <c r="N6" s="3"/>
      <c r="O6" s="3"/>
      <c r="P6" s="3"/>
      <c r="Q6" s="3"/>
      <c r="R6" s="3"/>
      <c r="S6" s="3"/>
      <c r="T6" s="3"/>
      <c r="U6" s="3"/>
      <c r="V6" s="3"/>
      <c r="W6" s="3"/>
    </row>
    <row r="7" spans="1:23" ht="15.75" customHeight="1">
      <c r="A7" s="24" t="s">
        <v>21</v>
      </c>
      <c r="B7" s="83" t="s">
        <v>84</v>
      </c>
      <c r="C7" s="83" t="s">
        <v>85</v>
      </c>
      <c r="D7" s="83" t="s">
        <v>86</v>
      </c>
      <c r="E7" s="83" t="s">
        <v>87</v>
      </c>
      <c r="F7" s="83" t="s">
        <v>88</v>
      </c>
      <c r="G7" s="83" t="s">
        <v>89</v>
      </c>
      <c r="H7" s="24"/>
      <c r="I7" s="1961" t="s">
        <v>146</v>
      </c>
      <c r="J7" s="1962"/>
      <c r="K7" s="3"/>
      <c r="L7" s="3"/>
      <c r="N7" s="3"/>
      <c r="O7" s="3"/>
      <c r="P7" s="3"/>
      <c r="Q7" s="3"/>
      <c r="R7" s="3"/>
      <c r="S7" s="3"/>
      <c r="T7" s="3"/>
      <c r="U7" s="3"/>
      <c r="V7" s="3"/>
      <c r="W7" s="3"/>
    </row>
    <row r="8" spans="1:23" ht="15.75" customHeight="1">
      <c r="A8" s="884" t="s">
        <v>147</v>
      </c>
      <c r="B8" s="570">
        <f>-'OM Depreciation'!B15</f>
        <v>-366383.26</v>
      </c>
      <c r="C8" s="570" t="s">
        <v>20</v>
      </c>
      <c r="D8" s="570" t="s">
        <v>20</v>
      </c>
      <c r="E8" s="570" t="s">
        <v>20</v>
      </c>
      <c r="F8" s="570" t="s">
        <v>20</v>
      </c>
      <c r="G8" s="570" t="s">
        <v>20</v>
      </c>
      <c r="H8" s="54"/>
      <c r="I8" s="976" t="s">
        <v>148</v>
      </c>
      <c r="J8" s="1235">
        <v>1.6750000000000001E-2</v>
      </c>
      <c r="K8" s="889"/>
      <c r="L8" s="23"/>
      <c r="N8" s="3"/>
      <c r="O8" s="3"/>
      <c r="P8" s="3"/>
      <c r="Q8" s="3"/>
      <c r="R8" s="3"/>
      <c r="S8" s="3"/>
      <c r="T8" s="3"/>
      <c r="U8" s="3"/>
      <c r="V8" s="3"/>
      <c r="W8" s="3"/>
    </row>
    <row r="9" spans="1:23" ht="15.75" customHeight="1">
      <c r="A9" s="884"/>
      <c r="B9" s="570"/>
      <c r="C9" s="570"/>
      <c r="D9" s="570"/>
      <c r="E9" s="570"/>
      <c r="F9" s="570"/>
      <c r="G9" s="570"/>
      <c r="H9" s="884"/>
      <c r="I9" s="977" t="s">
        <v>149</v>
      </c>
      <c r="J9" s="1236">
        <v>1.43</v>
      </c>
      <c r="K9" s="889"/>
      <c r="L9" s="3"/>
      <c r="N9" s="3"/>
      <c r="O9" s="3"/>
      <c r="P9" s="3"/>
      <c r="Q9" s="3"/>
      <c r="R9" s="3"/>
      <c r="S9" s="3"/>
      <c r="T9" s="3"/>
      <c r="U9" s="3"/>
      <c r="V9" s="3"/>
      <c r="W9" s="3"/>
    </row>
    <row r="10" spans="1:23" ht="15.75" customHeight="1">
      <c r="A10" s="884" t="s">
        <v>150</v>
      </c>
      <c r="B10" s="570">
        <f>'FE Income Statement'!B25</f>
        <v>-737502.60910493333</v>
      </c>
      <c r="C10" s="570">
        <f>'FE Income Statement'!C25</f>
        <v>144331.05579815162</v>
      </c>
      <c r="D10" s="570">
        <f>'FE Income Statement'!D25</f>
        <v>464371.90438724507</v>
      </c>
      <c r="E10" s="570">
        <f>'FE Income Statement'!E25</f>
        <v>2099295.9702395489</v>
      </c>
      <c r="F10" s="570">
        <f>'FE Income Statement'!F25</f>
        <v>2653215.1868623197</v>
      </c>
      <c r="G10" s="570">
        <f>'FE Income Statement'!G25</f>
        <v>3566996.5362364263</v>
      </c>
      <c r="H10" s="884"/>
      <c r="I10" s="977" t="s">
        <v>151</v>
      </c>
      <c r="J10" s="1237">
        <v>0.1</v>
      </c>
      <c r="K10" s="123"/>
      <c r="L10" s="3"/>
      <c r="N10" s="3"/>
      <c r="O10" s="3"/>
      <c r="P10" s="3"/>
      <c r="Q10" s="3"/>
      <c r="R10" s="3"/>
      <c r="S10" s="3"/>
      <c r="T10" s="3"/>
      <c r="U10" s="3"/>
      <c r="V10" s="3"/>
      <c r="W10" s="3"/>
    </row>
    <row r="11" spans="1:23" ht="15.75" customHeight="1">
      <c r="A11" s="125" t="s">
        <v>152</v>
      </c>
      <c r="B11" s="570">
        <f>'FE Income Statement'!B21</f>
        <v>0</v>
      </c>
      <c r="C11" s="570">
        <f>-'FE Income Statement'!C21</f>
        <v>74409.98533333333</v>
      </c>
      <c r="D11" s="570">
        <f>-'FE Income Statement'!D21</f>
        <v>74409.98533333333</v>
      </c>
      <c r="E11" s="570">
        <f>-'FE Income Statement'!E21</f>
        <v>74409.98533333333</v>
      </c>
      <c r="F11" s="570">
        <f>-'FE Income Statement'!F21-'FE Income Statement'!F22</f>
        <v>77611.432000000001</v>
      </c>
      <c r="G11" s="570">
        <f>-'FE Income Statement'!G21-'FE Income Statement'!G22</f>
        <v>77611.432000000001</v>
      </c>
      <c r="H11" s="884"/>
      <c r="I11" s="977" t="s">
        <v>153</v>
      </c>
      <c r="J11" s="978">
        <f>J8+J9*(J10-J8)</f>
        <v>0.13579750000000002</v>
      </c>
      <c r="K11" s="883"/>
      <c r="L11" s="3"/>
      <c r="N11" s="3"/>
      <c r="O11" s="3"/>
      <c r="P11" s="3"/>
      <c r="Q11" s="3"/>
      <c r="R11" s="3"/>
      <c r="S11" s="3"/>
      <c r="T11" s="3"/>
      <c r="U11" s="3"/>
      <c r="V11" s="3"/>
      <c r="W11" s="3"/>
    </row>
    <row r="12" spans="1:23" ht="15.75" customHeight="1" thickBot="1">
      <c r="A12" s="125" t="s">
        <v>154</v>
      </c>
      <c r="B12" s="570">
        <f>-'FE Balance Sheet'!B34</f>
        <v>-24798.631216795533</v>
      </c>
      <c r="C12" s="570">
        <f>-('FE Balance Sheet'!C34-'FE Balance Sheet'!B34)</f>
        <v>-305298.86771315808</v>
      </c>
      <c r="D12" s="570">
        <f>-('FE Balance Sheet'!D34-'FE Balance Sheet'!C34)</f>
        <v>-182312.64457208943</v>
      </c>
      <c r="E12" s="570">
        <f>-('FE Balance Sheet'!E34-'FE Balance Sheet'!D34)</f>
        <v>-726372.45336515782</v>
      </c>
      <c r="F12" s="570">
        <f>-('FE Balance Sheet'!F34-'FE Balance Sheet'!E34)</f>
        <v>-277634.18834731216</v>
      </c>
      <c r="G12" s="570">
        <f>-('FE Balance Sheet'!G34-'FE Balance Sheet'!F34)</f>
        <v>-390028.64606828662</v>
      </c>
      <c r="H12" s="884"/>
      <c r="I12" s="981" t="s">
        <v>155</v>
      </c>
      <c r="J12" s="1238">
        <v>0.11650000000000001</v>
      </c>
      <c r="K12" s="883"/>
      <c r="L12" s="3"/>
      <c r="M12" s="3"/>
      <c r="N12" s="3"/>
      <c r="O12" s="3"/>
      <c r="P12" s="3"/>
      <c r="Q12" s="3"/>
      <c r="R12" s="3"/>
      <c r="S12" s="3"/>
      <c r="T12" s="3"/>
      <c r="U12" s="3"/>
      <c r="V12" s="3"/>
      <c r="W12" s="3"/>
    </row>
    <row r="13" spans="1:23" ht="15.75" customHeight="1" thickBot="1">
      <c r="A13" s="125" t="s">
        <v>156</v>
      </c>
      <c r="B13" s="570">
        <v>0</v>
      </c>
      <c r="C13" s="570">
        <f>'FE Balance Sheet'!C15-'FE Balance Sheet'!B15</f>
        <v>0</v>
      </c>
      <c r="D13" s="570">
        <f>'FE Balance Sheet'!D15-'FE Balance Sheet'!C15</f>
        <v>0</v>
      </c>
      <c r="E13" s="570">
        <f>-('FE Balance Sheet'!E15-'FE Balance Sheet'!D15)</f>
        <v>-19268</v>
      </c>
      <c r="F13" s="570">
        <f>'FE Balance Sheet'!F15-'FE Balance Sheet'!E15</f>
        <v>0</v>
      </c>
      <c r="G13" s="570">
        <f>'FE Balance Sheet'!G15-'FE Balance Sheet'!F15</f>
        <v>0</v>
      </c>
      <c r="H13" s="884"/>
      <c r="I13" s="979" t="s">
        <v>157</v>
      </c>
      <c r="J13" s="980">
        <f>SUM(J11:J12)</f>
        <v>0.25229750000000001</v>
      </c>
      <c r="K13" s="883"/>
      <c r="L13" s="3"/>
      <c r="M13" s="3"/>
      <c r="N13" s="3"/>
      <c r="O13" s="3"/>
      <c r="P13" s="3"/>
      <c r="Q13" s="3"/>
      <c r="R13" s="3"/>
      <c r="S13" s="3"/>
      <c r="T13" s="3"/>
      <c r="U13" s="3"/>
      <c r="V13" s="3"/>
      <c r="W13" s="3"/>
    </row>
    <row r="14" spans="1:23" ht="15.75" customHeight="1">
      <c r="A14" s="884" t="s">
        <v>158</v>
      </c>
      <c r="B14" s="570">
        <f t="shared" ref="B14:G14" si="0">SUM(B8:B13)</f>
        <v>-1128684.5003217291</v>
      </c>
      <c r="C14" s="570">
        <f t="shared" si="0"/>
        <v>-86557.826581673115</v>
      </c>
      <c r="D14" s="570">
        <f t="shared" si="0"/>
        <v>356469.24514848902</v>
      </c>
      <c r="E14" s="570">
        <f t="shared" si="0"/>
        <v>1428065.5022077244</v>
      </c>
      <c r="F14" s="570">
        <f t="shared" si="0"/>
        <v>2453192.4305150076</v>
      </c>
      <c r="G14" s="570">
        <f t="shared" si="0"/>
        <v>3254579.3221681397</v>
      </c>
      <c r="H14" s="882"/>
      <c r="I14" s="885"/>
      <c r="J14" s="886"/>
      <c r="K14" s="883"/>
      <c r="L14" s="3"/>
      <c r="M14" s="3"/>
      <c r="N14" s="3"/>
      <c r="O14" s="3"/>
      <c r="P14" s="3"/>
      <c r="Q14" s="3"/>
      <c r="R14" s="3"/>
      <c r="S14" s="3"/>
      <c r="T14" s="3"/>
      <c r="U14" s="3"/>
      <c r="V14" s="3"/>
      <c r="W14" s="3"/>
    </row>
    <row r="15" spans="1:23" ht="15.75" customHeight="1" thickBot="1">
      <c r="A15" s="884"/>
      <c r="B15" s="423"/>
      <c r="C15" s="423"/>
      <c r="D15" s="423"/>
      <c r="E15" s="423"/>
      <c r="F15" s="423"/>
      <c r="G15" s="423"/>
      <c r="H15" s="884"/>
      <c r="I15" s="870"/>
      <c r="J15" s="871"/>
      <c r="K15" s="889"/>
      <c r="L15" s="3"/>
      <c r="M15" s="3"/>
      <c r="N15" s="3"/>
      <c r="O15" s="3"/>
      <c r="P15" s="3"/>
      <c r="Q15" s="3"/>
      <c r="R15" s="3"/>
      <c r="S15" s="3"/>
      <c r="T15" s="3"/>
      <c r="U15" s="3"/>
      <c r="V15" s="3"/>
      <c r="W15" s="3"/>
    </row>
    <row r="16" spans="1:23" ht="15.75" customHeight="1" thickBot="1">
      <c r="A16" s="884" t="s">
        <v>159</v>
      </c>
      <c r="B16" s="423"/>
      <c r="C16" s="423"/>
      <c r="D16" s="423"/>
      <c r="E16" s="423"/>
      <c r="F16" s="423"/>
      <c r="G16" s="126">
        <f>NPV(J13,L23:L24)</f>
        <v>3926598.6864066822</v>
      </c>
      <c r="H16" s="884"/>
      <c r="I16" s="1979"/>
      <c r="J16" s="1980"/>
      <c r="K16" s="887" t="s">
        <v>162</v>
      </c>
      <c r="L16" s="888"/>
      <c r="M16" s="876" t="s">
        <v>163</v>
      </c>
      <c r="N16" s="3"/>
      <c r="O16" s="3"/>
      <c r="P16" s="3"/>
      <c r="Q16" s="3"/>
      <c r="R16" s="3"/>
      <c r="S16" s="3"/>
      <c r="T16" s="3"/>
      <c r="U16" s="3"/>
      <c r="V16" s="3"/>
      <c r="W16" s="3"/>
    </row>
    <row r="17" spans="1:23" ht="15.75" customHeight="1">
      <c r="A17" s="889"/>
      <c r="B17" s="809"/>
      <c r="C17" s="809"/>
      <c r="D17" s="809"/>
      <c r="E17" s="809"/>
      <c r="F17" s="809"/>
      <c r="G17" s="809"/>
      <c r="H17" s="884"/>
      <c r="I17" s="1963" t="s">
        <v>941</v>
      </c>
      <c r="J17" s="1964"/>
      <c r="K17" s="878" t="s">
        <v>22</v>
      </c>
      <c r="L17" s="879">
        <f>B14</f>
        <v>-1128684.5003217291</v>
      </c>
      <c r="M17" s="1552">
        <f>0</f>
        <v>0</v>
      </c>
      <c r="N17" s="3"/>
      <c r="O17" s="3"/>
      <c r="P17" s="3"/>
      <c r="Q17" s="3"/>
      <c r="R17" s="3"/>
      <c r="S17" s="3"/>
      <c r="T17" s="3"/>
      <c r="U17" s="3"/>
      <c r="V17" s="3"/>
      <c r="W17" s="3"/>
    </row>
    <row r="18" spans="1:23" ht="15.75" customHeight="1" thickBot="1">
      <c r="A18" s="884" t="s">
        <v>160</v>
      </c>
      <c r="B18" s="570">
        <f>B8+B14</f>
        <v>-1495067.7603217291</v>
      </c>
      <c r="C18" s="570">
        <f t="shared" ref="C18:F18" si="1">C14</f>
        <v>-86557.826581673115</v>
      </c>
      <c r="D18" s="570">
        <f t="shared" si="1"/>
        <v>356469.24514848902</v>
      </c>
      <c r="E18" s="570">
        <f t="shared" si="1"/>
        <v>1428065.5022077244</v>
      </c>
      <c r="F18" s="570">
        <f t="shared" si="1"/>
        <v>2453192.4305150076</v>
      </c>
      <c r="G18" s="570">
        <f>SUM(G14,G16)</f>
        <v>7181178.008574822</v>
      </c>
      <c r="H18" s="884"/>
      <c r="I18" s="1965"/>
      <c r="J18" s="1966"/>
      <c r="K18" s="874" t="s">
        <v>23</v>
      </c>
      <c r="L18" s="875">
        <f>C14</f>
        <v>-86557.826581673115</v>
      </c>
      <c r="M18" s="877">
        <f t="shared" ref="M18:M19" si="2">-(L18-L17)/L17</f>
        <v>0.92331087513206744</v>
      </c>
      <c r="N18" s="3"/>
      <c r="O18" s="3"/>
      <c r="P18" s="3"/>
      <c r="Q18" s="3"/>
      <c r="R18" s="3"/>
      <c r="S18" s="3"/>
      <c r="T18" s="3"/>
      <c r="U18" s="3"/>
      <c r="V18" s="3"/>
      <c r="W18" s="3"/>
    </row>
    <row r="19" spans="1:23" ht="16" customHeight="1">
      <c r="A19" s="884" t="s">
        <v>161</v>
      </c>
      <c r="B19" s="423">
        <f>(SUMIF(B18:G18,"&lt;0")*-1)</f>
        <v>1581625.5869034021</v>
      </c>
      <c r="C19" s="423"/>
      <c r="D19" s="423"/>
      <c r="E19" s="423"/>
      <c r="F19" s="423"/>
      <c r="G19" s="423"/>
      <c r="H19" s="884"/>
      <c r="I19" s="1967" t="s">
        <v>166</v>
      </c>
      <c r="J19" s="1968"/>
      <c r="K19" s="878" t="s">
        <v>24</v>
      </c>
      <c r="L19" s="879">
        <f>D14</f>
        <v>356469.24514848902</v>
      </c>
      <c r="M19" s="880">
        <f t="shared" si="2"/>
        <v>5.1182786031732945</v>
      </c>
      <c r="N19" s="3"/>
      <c r="O19" s="3"/>
      <c r="P19" s="3"/>
      <c r="Q19" s="3"/>
      <c r="R19" s="3"/>
      <c r="S19" s="3"/>
      <c r="T19" s="3"/>
      <c r="U19" s="3"/>
      <c r="V19" s="3"/>
      <c r="W19" s="3"/>
    </row>
    <row r="20" spans="1:23" ht="17" customHeight="1" thickBot="1">
      <c r="A20" s="884"/>
      <c r="B20" s="883"/>
      <c r="C20" s="423"/>
      <c r="D20" s="423" t="s">
        <v>20</v>
      </c>
      <c r="E20" s="423"/>
      <c r="F20" s="127"/>
      <c r="I20" s="1969"/>
      <c r="J20" s="1970"/>
      <c r="K20" s="874" t="s">
        <v>25</v>
      </c>
      <c r="L20" s="875">
        <f>E14</f>
        <v>1428065.5022077244</v>
      </c>
      <c r="M20" s="881">
        <f t="shared" ref="M20:M22" si="3">(L20-L19)/L19</f>
        <v>3.006139440200112</v>
      </c>
      <c r="N20" s="3"/>
      <c r="O20" s="3"/>
      <c r="P20" s="3"/>
      <c r="Q20" s="3"/>
      <c r="R20" s="3"/>
      <c r="S20" s="3"/>
      <c r="T20" s="3"/>
      <c r="U20" s="3"/>
      <c r="V20" s="3"/>
      <c r="W20" s="3"/>
    </row>
    <row r="21" spans="1:23" ht="16" customHeight="1">
      <c r="A21" s="882" t="s">
        <v>164</v>
      </c>
      <c r="B21" s="128">
        <f>NPV(J13,C18:G18)+B18</f>
        <v>2719365.4824631587</v>
      </c>
      <c r="C21" s="210" t="s">
        <v>20</v>
      </c>
      <c r="D21" s="210" t="s">
        <v>20</v>
      </c>
      <c r="E21" s="423" t="s">
        <v>20</v>
      </c>
      <c r="F21" s="423"/>
      <c r="I21" s="1971" t="s">
        <v>853</v>
      </c>
      <c r="J21" s="1972"/>
      <c r="K21" s="878" t="s">
        <v>26</v>
      </c>
      <c r="L21" s="879">
        <f>F14</f>
        <v>2453192.4305150076</v>
      </c>
      <c r="M21" s="880">
        <f t="shared" si="3"/>
        <v>0.71784307282998128</v>
      </c>
      <c r="N21" s="3"/>
      <c r="O21" s="3"/>
      <c r="P21" s="3"/>
      <c r="Q21" s="3"/>
      <c r="R21" s="3"/>
      <c r="S21" s="3"/>
      <c r="T21" s="3"/>
      <c r="U21" s="3"/>
      <c r="V21" s="3"/>
      <c r="W21" s="3"/>
    </row>
    <row r="22" spans="1:23" ht="17" customHeight="1" thickBot="1">
      <c r="A22" s="884" t="s">
        <v>20</v>
      </c>
      <c r="B22" s="423"/>
      <c r="C22" s="423" t="s">
        <v>20</v>
      </c>
      <c r="D22" s="423"/>
      <c r="E22" s="423"/>
      <c r="F22" s="423"/>
      <c r="I22" s="1973"/>
      <c r="J22" s="1974"/>
      <c r="K22" s="874" t="s">
        <v>27</v>
      </c>
      <c r="L22" s="875">
        <f>G14</f>
        <v>3254579.3221681397</v>
      </c>
      <c r="M22" s="881">
        <f t="shared" si="3"/>
        <v>0.32667102738650394</v>
      </c>
      <c r="N22" s="3"/>
      <c r="O22" s="3"/>
      <c r="P22" s="3"/>
      <c r="Q22" s="3"/>
      <c r="R22" s="3"/>
      <c r="S22" s="3"/>
      <c r="T22" s="3"/>
      <c r="U22" s="3"/>
      <c r="V22" s="3"/>
      <c r="W22" s="3"/>
    </row>
    <row r="23" spans="1:23" ht="16" customHeight="1">
      <c r="A23" s="882" t="s">
        <v>165</v>
      </c>
      <c r="B23" s="129">
        <f>IRR(B18:G18)</f>
        <v>0.59945943426662152</v>
      </c>
      <c r="C23" s="423"/>
      <c r="D23" s="423"/>
      <c r="E23" s="883"/>
      <c r="F23" s="883"/>
      <c r="I23" s="1975" t="s">
        <v>852</v>
      </c>
      <c r="J23" s="1976"/>
      <c r="K23" s="872" t="s">
        <v>167</v>
      </c>
      <c r="L23" s="873">
        <f>L22*(1+M23)</f>
        <v>2929121.389951326</v>
      </c>
      <c r="M23" s="1550">
        <v>-0.1</v>
      </c>
      <c r="N23" s="3"/>
      <c r="O23" s="3"/>
      <c r="P23" s="3"/>
      <c r="Q23" s="3"/>
      <c r="R23" s="3"/>
      <c r="S23" s="3"/>
      <c r="T23" s="3"/>
      <c r="U23" s="3"/>
      <c r="V23" s="3"/>
      <c r="W23" s="3"/>
    </row>
    <row r="24" spans="1:23" ht="16" customHeight="1" thickBot="1">
      <c r="A24" s="884"/>
      <c r="B24" s="423"/>
      <c r="C24" s="423"/>
      <c r="D24" s="423"/>
      <c r="E24" s="883"/>
      <c r="F24" s="883"/>
      <c r="I24" s="1977"/>
      <c r="J24" s="1978"/>
      <c r="K24" s="874" t="s">
        <v>168</v>
      </c>
      <c r="L24" s="875">
        <f>L23*(1+M24)</f>
        <v>2489753.1814586269</v>
      </c>
      <c r="M24" s="1551">
        <v>-0.15</v>
      </c>
      <c r="N24" s="3"/>
      <c r="O24" s="3"/>
      <c r="P24" s="3"/>
      <c r="Q24" s="3"/>
      <c r="R24" s="3"/>
      <c r="S24" s="3"/>
      <c r="T24" s="3"/>
      <c r="U24" s="3"/>
      <c r="V24" s="3"/>
      <c r="W24" s="3"/>
    </row>
    <row r="25" spans="1:23" ht="17" customHeight="1">
      <c r="A25" s="884"/>
      <c r="B25" s="423"/>
      <c r="C25" s="423"/>
      <c r="D25" s="423"/>
      <c r="E25" s="883"/>
      <c r="F25" s="883"/>
      <c r="L25" s="131"/>
      <c r="M25" s="3"/>
      <c r="N25" s="3"/>
      <c r="O25" s="3"/>
      <c r="P25" s="3"/>
      <c r="Q25" s="3"/>
      <c r="R25" s="3"/>
      <c r="S25" s="3"/>
      <c r="T25" s="3"/>
      <c r="U25" s="3"/>
      <c r="V25" s="3"/>
      <c r="W25" s="3"/>
    </row>
    <row r="26" spans="1:23" ht="18" customHeight="1">
      <c r="A26" s="889"/>
      <c r="B26" s="130"/>
      <c r="C26" s="130"/>
      <c r="D26" s="130"/>
      <c r="E26" s="883"/>
      <c r="F26" s="883"/>
      <c r="M26" s="3"/>
      <c r="N26" s="3"/>
      <c r="O26" s="3"/>
      <c r="P26" s="3"/>
      <c r="Q26" s="3"/>
      <c r="R26" s="3"/>
      <c r="S26" s="3"/>
      <c r="T26" s="3"/>
      <c r="U26" s="3"/>
      <c r="V26" s="3"/>
      <c r="W26" s="3"/>
    </row>
    <row r="27" spans="1:23" ht="18" customHeight="1">
      <c r="D27" s="130"/>
      <c r="E27" s="883"/>
      <c r="F27" s="883"/>
      <c r="M27" s="3"/>
      <c r="N27" s="3"/>
      <c r="O27" s="3"/>
      <c r="P27" s="3"/>
      <c r="Q27" s="3"/>
      <c r="R27" s="3"/>
      <c r="S27" s="3"/>
      <c r="T27" s="3"/>
      <c r="U27" s="3"/>
      <c r="V27" s="3"/>
      <c r="W27" s="3"/>
    </row>
    <row r="28" spans="1:23" ht="16">
      <c r="D28" s="132"/>
      <c r="E28" s="883"/>
      <c r="F28" s="883"/>
      <c r="M28" s="3"/>
      <c r="N28" s="3"/>
      <c r="O28" s="3"/>
      <c r="P28" s="3"/>
      <c r="Q28" s="3"/>
      <c r="R28" s="3"/>
      <c r="S28" s="3"/>
      <c r="T28" s="3"/>
      <c r="U28" s="3"/>
      <c r="V28" s="3"/>
      <c r="W28" s="3"/>
    </row>
    <row r="29" spans="1:23" ht="16">
      <c r="D29" s="3"/>
      <c r="G29" s="834"/>
      <c r="H29" s="834"/>
      <c r="I29" s="835"/>
      <c r="J29" s="835"/>
      <c r="K29" s="835"/>
      <c r="M29" s="3"/>
      <c r="N29" s="3"/>
      <c r="O29" s="3"/>
      <c r="P29" s="3"/>
      <c r="Q29" s="3"/>
      <c r="R29" s="3"/>
      <c r="S29" s="3"/>
      <c r="T29" s="3"/>
      <c r="U29" s="3"/>
      <c r="V29" s="3"/>
      <c r="W29" s="3"/>
    </row>
    <row r="30" spans="1:23" ht="16">
      <c r="D30" s="3"/>
      <c r="J30" s="3"/>
      <c r="K30" s="3"/>
      <c r="L30" s="3"/>
      <c r="M30" s="3"/>
      <c r="N30" s="3"/>
      <c r="O30" s="3"/>
      <c r="P30" s="3"/>
      <c r="Q30" s="3"/>
      <c r="R30" s="3"/>
      <c r="S30" s="3"/>
      <c r="T30" s="3"/>
      <c r="U30" s="3"/>
      <c r="V30" s="3"/>
      <c r="W30" s="3"/>
    </row>
    <row r="31" spans="1:23" ht="16">
      <c r="D31" s="3"/>
      <c r="J31" s="3"/>
      <c r="K31" s="3"/>
      <c r="L31" s="3"/>
      <c r="M31" s="3"/>
      <c r="N31" s="3"/>
      <c r="O31" s="3"/>
      <c r="P31" s="3"/>
      <c r="Q31" s="3"/>
      <c r="R31" s="3"/>
      <c r="S31" s="3"/>
      <c r="T31" s="3"/>
      <c r="U31" s="3"/>
      <c r="V31" s="3"/>
      <c r="W31" s="3"/>
    </row>
    <row r="32" spans="1:23" ht="16">
      <c r="D32" s="3"/>
      <c r="J32" s="3"/>
      <c r="K32" s="3"/>
      <c r="L32" s="3"/>
      <c r="M32" s="3"/>
      <c r="N32" s="3"/>
      <c r="O32" s="3"/>
      <c r="P32" s="3"/>
      <c r="Q32" s="3"/>
      <c r="R32" s="3"/>
      <c r="S32" s="3"/>
      <c r="T32" s="3"/>
      <c r="U32" s="3"/>
      <c r="V32" s="3"/>
      <c r="W32" s="3"/>
    </row>
    <row r="33" spans="1:23" ht="16">
      <c r="D33" s="3"/>
      <c r="E33" s="3"/>
      <c r="F33" s="14"/>
      <c r="G33" s="118"/>
      <c r="H33" s="61"/>
      <c r="I33" s="3"/>
      <c r="J33" s="3"/>
      <c r="K33" s="3"/>
      <c r="L33" s="3"/>
      <c r="M33" s="3"/>
      <c r="N33" s="3"/>
      <c r="O33" s="3"/>
      <c r="P33" s="3"/>
      <c r="Q33" s="3"/>
      <c r="R33" s="3"/>
      <c r="S33" s="3"/>
      <c r="T33" s="3"/>
      <c r="U33" s="3"/>
      <c r="V33" s="3"/>
      <c r="W33" s="3"/>
    </row>
    <row r="34" spans="1:23" ht="16">
      <c r="D34" s="3"/>
      <c r="E34" s="3"/>
      <c r="F34" s="14"/>
      <c r="G34" s="118"/>
      <c r="H34" s="3"/>
      <c r="I34" s="3"/>
      <c r="J34" s="3"/>
      <c r="K34" s="3"/>
      <c r="L34" s="3"/>
      <c r="M34" s="3"/>
      <c r="N34" s="3"/>
      <c r="O34" s="3"/>
      <c r="P34" s="3"/>
      <c r="Q34" s="3"/>
      <c r="R34" s="3"/>
      <c r="S34" s="3"/>
      <c r="T34" s="3"/>
      <c r="U34" s="3"/>
      <c r="V34" s="3"/>
      <c r="W34" s="3"/>
    </row>
    <row r="35" spans="1:23" ht="16">
      <c r="D35" s="3"/>
      <c r="E35" s="3"/>
      <c r="F35" s="3"/>
      <c r="G35" s="3"/>
      <c r="H35" s="3"/>
      <c r="I35" s="3"/>
      <c r="J35" s="3"/>
      <c r="K35" s="3"/>
      <c r="L35" s="3"/>
      <c r="M35" s="3"/>
      <c r="N35" s="3"/>
      <c r="O35" s="3"/>
      <c r="P35" s="3"/>
      <c r="Q35" s="3"/>
      <c r="R35" s="3"/>
      <c r="S35" s="3"/>
      <c r="T35" s="3"/>
      <c r="U35" s="3"/>
      <c r="V35" s="3"/>
      <c r="W35" s="3"/>
    </row>
    <row r="36" spans="1:23" ht="16">
      <c r="D36" s="3"/>
      <c r="E36" s="3"/>
      <c r="F36" s="3"/>
      <c r="G36" s="3"/>
      <c r="H36" s="3"/>
      <c r="I36" s="3"/>
      <c r="J36" s="3"/>
      <c r="K36" s="3"/>
      <c r="L36" s="3"/>
      <c r="M36" s="3"/>
      <c r="N36" s="3"/>
      <c r="O36" s="3"/>
      <c r="P36" s="3"/>
      <c r="Q36" s="3"/>
      <c r="R36" s="3"/>
      <c r="S36" s="3"/>
      <c r="T36" s="3"/>
      <c r="U36" s="3"/>
      <c r="V36" s="3"/>
      <c r="W36" s="3"/>
    </row>
    <row r="37" spans="1:23" ht="16">
      <c r="D37" s="3"/>
      <c r="E37" s="3"/>
      <c r="F37" s="3"/>
      <c r="G37" s="3"/>
      <c r="H37" s="3"/>
      <c r="I37" s="3"/>
      <c r="J37" s="3"/>
      <c r="K37" s="3"/>
      <c r="L37" s="3"/>
      <c r="M37" s="3"/>
      <c r="N37" s="3"/>
      <c r="O37" s="3"/>
      <c r="P37" s="3"/>
      <c r="Q37" s="3"/>
      <c r="R37" s="3"/>
      <c r="S37" s="3"/>
      <c r="T37" s="3"/>
      <c r="U37" s="3"/>
      <c r="V37" s="3"/>
      <c r="W37" s="3"/>
    </row>
    <row r="38" spans="1:23" ht="16">
      <c r="A38" s="3"/>
      <c r="B38" s="3"/>
      <c r="C38" s="3"/>
      <c r="D38" s="3"/>
      <c r="E38" s="3"/>
      <c r="F38" s="3"/>
      <c r="G38" s="3"/>
      <c r="H38" s="3"/>
      <c r="I38" s="3"/>
      <c r="J38" s="3"/>
      <c r="K38" s="3"/>
      <c r="L38" s="3"/>
      <c r="M38" s="3"/>
      <c r="N38" s="3"/>
      <c r="O38" s="3"/>
      <c r="P38" s="3"/>
      <c r="Q38" s="3"/>
      <c r="R38" s="3"/>
      <c r="S38" s="3"/>
      <c r="T38" s="3"/>
      <c r="U38" s="3"/>
      <c r="V38" s="3"/>
      <c r="W38" s="3"/>
    </row>
    <row r="39" spans="1:23" ht="16">
      <c r="A39" s="3"/>
      <c r="B39" s="3"/>
      <c r="C39" s="3"/>
      <c r="D39" s="3"/>
      <c r="E39" s="3"/>
      <c r="F39" s="3"/>
      <c r="G39" s="3"/>
      <c r="H39" s="3"/>
      <c r="I39" s="3"/>
      <c r="J39" s="3"/>
      <c r="K39" s="3"/>
      <c r="L39" s="3"/>
      <c r="M39" s="3"/>
      <c r="N39" s="3"/>
      <c r="O39" s="3"/>
      <c r="P39" s="3"/>
      <c r="Q39" s="3"/>
      <c r="R39" s="3"/>
      <c r="S39" s="3"/>
      <c r="T39" s="3"/>
      <c r="U39" s="3"/>
      <c r="V39" s="3"/>
      <c r="W39" s="3"/>
    </row>
    <row r="40" spans="1:23" ht="16">
      <c r="A40" s="3"/>
      <c r="B40" s="3"/>
      <c r="C40" s="3"/>
      <c r="D40" s="3"/>
      <c r="E40" s="3"/>
      <c r="F40" s="3"/>
      <c r="G40" s="3"/>
      <c r="H40" s="3"/>
      <c r="I40" s="3"/>
      <c r="J40" s="3"/>
      <c r="K40" s="3"/>
      <c r="L40" s="3"/>
      <c r="M40" s="3"/>
      <c r="N40" s="3"/>
      <c r="O40" s="3"/>
      <c r="P40" s="3"/>
      <c r="Q40" s="3"/>
      <c r="R40" s="3"/>
      <c r="S40" s="3"/>
      <c r="T40" s="3"/>
      <c r="U40" s="3"/>
      <c r="V40" s="3"/>
      <c r="W40" s="3"/>
    </row>
    <row r="41" spans="1:23" ht="16">
      <c r="A41" s="3"/>
      <c r="B41" s="3"/>
      <c r="C41" s="3"/>
      <c r="D41" s="3"/>
      <c r="E41" s="3"/>
      <c r="F41" s="3"/>
      <c r="G41" s="3"/>
      <c r="H41" s="3"/>
      <c r="I41" s="3"/>
      <c r="J41" s="3"/>
      <c r="K41" s="3"/>
      <c r="L41" s="3"/>
      <c r="M41" s="3"/>
      <c r="N41" s="3"/>
      <c r="O41" s="3"/>
      <c r="P41" s="3"/>
      <c r="Q41" s="3"/>
      <c r="R41" s="3"/>
      <c r="S41" s="3"/>
      <c r="T41" s="3"/>
      <c r="U41" s="3"/>
      <c r="V41" s="3"/>
      <c r="W41" s="3"/>
    </row>
  </sheetData>
  <mergeCells count="6">
    <mergeCell ref="I7:J7"/>
    <mergeCell ref="I17:J18"/>
    <mergeCell ref="I19:J20"/>
    <mergeCell ref="I21:J22"/>
    <mergeCell ref="I23:J24"/>
    <mergeCell ref="I16:J16"/>
  </mergeCells>
  <hyperlinks>
    <hyperlink ref="A1" location="Index!A1" display="Index" xr:uid="{00000000-0004-0000-1000-000000000000}"/>
  </hyperlinks>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outlinePr summaryBelow="0" summaryRight="0"/>
  </sheetPr>
  <dimension ref="A1:T27"/>
  <sheetViews>
    <sheetView zoomScale="118" workbookViewId="0">
      <selection activeCell="H14" sqref="H14"/>
    </sheetView>
  </sheetViews>
  <sheetFormatPr baseColWidth="10" defaultColWidth="14.33203125" defaultRowHeight="15.75" customHeight="1"/>
  <cols>
    <col min="1" max="1" width="16.6640625" customWidth="1"/>
    <col min="2" max="2" width="12.83203125" customWidth="1"/>
    <col min="3" max="3" width="14.1640625" customWidth="1"/>
    <col min="4" max="6" width="15.33203125" customWidth="1"/>
    <col min="7" max="8" width="17.33203125" customWidth="1"/>
    <col min="9" max="9" width="76.33203125" customWidth="1"/>
    <col min="10" max="10" width="9.5" customWidth="1"/>
    <col min="11" max="11" width="49.33203125" customWidth="1"/>
  </cols>
  <sheetData>
    <row r="1" spans="1:20" ht="26">
      <c r="A1" s="116" t="s">
        <v>0</v>
      </c>
      <c r="B1" s="3"/>
      <c r="C1" s="3"/>
      <c r="D1" s="3"/>
      <c r="E1" s="3"/>
      <c r="F1" s="3"/>
      <c r="G1" s="3"/>
      <c r="H1" s="3"/>
      <c r="I1" s="3"/>
      <c r="J1" s="3"/>
      <c r="K1" s="3"/>
      <c r="L1" s="3"/>
      <c r="M1" s="3"/>
      <c r="N1" s="3"/>
      <c r="O1" s="3"/>
      <c r="P1" s="3"/>
      <c r="Q1" s="3"/>
      <c r="R1" s="3"/>
      <c r="S1" s="3"/>
      <c r="T1" s="3"/>
    </row>
    <row r="2" spans="1:20" ht="15.75" customHeight="1">
      <c r="A2" s="3"/>
      <c r="M2" s="23"/>
      <c r="N2" s="3"/>
      <c r="O2" s="3"/>
      <c r="P2" s="3"/>
      <c r="Q2" s="3"/>
      <c r="R2" s="3"/>
      <c r="S2" s="3"/>
      <c r="T2" s="3"/>
    </row>
    <row r="3" spans="1:20" ht="15.75" customHeight="1">
      <c r="A3" s="133" t="s">
        <v>169</v>
      </c>
      <c r="B3" s="134" t="s">
        <v>22</v>
      </c>
      <c r="C3" s="135" t="s">
        <v>23</v>
      </c>
      <c r="D3" s="135" t="s">
        <v>24</v>
      </c>
      <c r="E3" s="135" t="s">
        <v>25</v>
      </c>
      <c r="F3" s="135" t="s">
        <v>26</v>
      </c>
      <c r="G3" s="136" t="s">
        <v>27</v>
      </c>
      <c r="H3" s="3"/>
      <c r="I3" s="23"/>
      <c r="J3" s="23"/>
      <c r="K3" s="69"/>
      <c r="M3" s="23"/>
      <c r="N3" s="3"/>
      <c r="O3" s="3"/>
      <c r="P3" s="3"/>
      <c r="Q3" s="3"/>
      <c r="R3" s="3"/>
      <c r="S3" s="3"/>
      <c r="T3" s="3"/>
    </row>
    <row r="4" spans="1:20" ht="15.75" customHeight="1">
      <c r="A4" s="137" t="s">
        <v>170</v>
      </c>
      <c r="B4" s="1576">
        <f t="shared" ref="B4:B5" si="0">0</f>
        <v>0</v>
      </c>
      <c r="C4" s="138">
        <f>'MK Price to Channel'!C4</f>
        <v>0.14000000000000001</v>
      </c>
      <c r="D4" s="138">
        <f>'MK Price to Channel'!C11</f>
        <v>0.28999999999999998</v>
      </c>
      <c r="E4" s="138">
        <f>SUM('MK Price to Channel'!C18,'MK Price to Channel'!C20)</f>
        <v>0.45500000000000002</v>
      </c>
      <c r="F4" s="138">
        <f>SUM('MK Price to Channel'!C26,'MK Price to Channel'!C28,'MK Price to Channel'!C29)</f>
        <v>0.55499999999999994</v>
      </c>
      <c r="G4" s="139">
        <f>SUM('MK Price to Channel'!C35,'MK Price to Channel'!C37,'MK Price to Channel'!C38)</f>
        <v>0.6399999999999999</v>
      </c>
      <c r="H4" s="3"/>
      <c r="I4" s="23"/>
      <c r="J4" s="23"/>
      <c r="K4" s="69"/>
      <c r="M4" s="3"/>
      <c r="N4" s="3"/>
      <c r="O4" s="3"/>
      <c r="P4" s="3"/>
      <c r="Q4" s="3"/>
      <c r="R4" s="3"/>
      <c r="S4" s="3"/>
      <c r="T4" s="3"/>
    </row>
    <row r="5" spans="1:20" ht="15.75" customHeight="1">
      <c r="A5" s="140" t="s">
        <v>171</v>
      </c>
      <c r="B5" s="1577">
        <f t="shared" si="0"/>
        <v>0</v>
      </c>
      <c r="C5" s="141">
        <f>'MK Price to Channel'!C5</f>
        <v>0.86</v>
      </c>
      <c r="D5" s="141">
        <f>'MK Price to Channel'!C12</f>
        <v>0.71</v>
      </c>
      <c r="E5" s="141">
        <f>'MK Price to Channel'!C19</f>
        <v>0.54500000000000004</v>
      </c>
      <c r="F5" s="141">
        <f>'MK Price to Channel'!C27</f>
        <v>0.44400000000000001</v>
      </c>
      <c r="G5" s="142">
        <f>'MK Price to Channel'!C36</f>
        <v>0.36</v>
      </c>
      <c r="H5" s="3"/>
      <c r="I5" s="3"/>
      <c r="J5" s="3"/>
      <c r="K5" s="3"/>
      <c r="M5" s="3"/>
      <c r="N5" s="3"/>
      <c r="O5" s="3"/>
      <c r="P5" s="3"/>
      <c r="Q5" s="3"/>
      <c r="R5" s="3"/>
      <c r="S5" s="3"/>
      <c r="T5" s="3"/>
    </row>
    <row r="6" spans="1:20" ht="15.75" customHeight="1">
      <c r="A6" s="143"/>
      <c r="B6" s="144" t="s">
        <v>22</v>
      </c>
      <c r="C6" s="145" t="s">
        <v>23</v>
      </c>
      <c r="D6" s="145" t="s">
        <v>24</v>
      </c>
      <c r="E6" s="145" t="s">
        <v>25</v>
      </c>
      <c r="F6" s="145" t="s">
        <v>26</v>
      </c>
      <c r="G6" s="146" t="s">
        <v>27</v>
      </c>
      <c r="H6" s="3"/>
      <c r="I6" s="14"/>
      <c r="J6" s="3"/>
      <c r="K6" s="3"/>
      <c r="M6" s="3"/>
      <c r="N6" s="3"/>
      <c r="O6" s="3"/>
      <c r="P6" s="3"/>
      <c r="Q6" s="3"/>
      <c r="R6" s="3"/>
      <c r="S6" s="3"/>
      <c r="T6" s="3"/>
    </row>
    <row r="7" spans="1:20" ht="15.75" customHeight="1">
      <c r="A7" s="140" t="s">
        <v>172</v>
      </c>
      <c r="B7" s="1799">
        <v>0</v>
      </c>
      <c r="C7" s="1800">
        <f>(45*(C4*'MK Bases Model (Base Case)'!B18))/365</f>
        <v>37272.798360363493</v>
      </c>
      <c r="D7" s="1800">
        <f>(45*(D4*'MK Bases Model (Base Case)'!C18))/365</f>
        <v>111694.86109584247</v>
      </c>
      <c r="E7" s="1800">
        <f>(45*(E4*'MK Bases Model (Base Case)'!D18))/365</f>
        <v>415583.12080095685</v>
      </c>
      <c r="F7" s="1800">
        <f>(45*(F4*'MK Bases Model (Base Case)'!E18))/365</f>
        <v>606266.74808521487</v>
      </c>
      <c r="G7" s="1801">
        <f>(45*(G4*'MK Bases Model (Base Case)'!F18))/365</f>
        <v>868186.3272407396</v>
      </c>
      <c r="H7" s="3"/>
      <c r="I7" s="3"/>
      <c r="J7" s="3"/>
      <c r="K7" s="3"/>
      <c r="M7" s="3"/>
      <c r="N7" s="3"/>
      <c r="O7" s="3"/>
      <c r="P7" s="3"/>
      <c r="Q7" s="3"/>
      <c r="R7" s="3"/>
      <c r="S7" s="3"/>
      <c r="T7" s="3"/>
    </row>
    <row r="8" spans="1:20" ht="15.75" customHeight="1">
      <c r="A8" s="147" t="s">
        <v>173</v>
      </c>
      <c r="B8" s="1802">
        <v>0</v>
      </c>
      <c r="C8" s="1803">
        <f>(5*(C5*'MK Bases Model (Base Case)'!B18))/365</f>
        <v>25440.163960248101</v>
      </c>
      <c r="D8" s="1803">
        <f>(5*(D5*'MK Bases Model (Base Case)'!C18))/365</f>
        <v>30384.425815344122</v>
      </c>
      <c r="E8" s="1803">
        <f>(5*(E5*'MK Bases Model (Base Case)'!D18))/365</f>
        <v>55309.597273875821</v>
      </c>
      <c r="F8" s="1803">
        <f>(5*(F5*'MK Bases Model (Base Case)'!E18))/365</f>
        <v>53890.37760757465</v>
      </c>
      <c r="G8" s="1804">
        <f>(5*(G5*'MK Bases Model (Base Case)'!F18))/365</f>
        <v>54261.645452546225</v>
      </c>
      <c r="H8" s="3"/>
      <c r="I8" s="3"/>
      <c r="J8" s="3"/>
      <c r="K8" s="3"/>
      <c r="M8" s="3"/>
      <c r="N8" s="3"/>
      <c r="O8" s="3"/>
      <c r="P8" s="3"/>
      <c r="Q8" s="3"/>
      <c r="R8" s="3"/>
      <c r="S8" s="3"/>
      <c r="T8" s="3"/>
    </row>
    <row r="9" spans="1:20" ht="15.75" customHeight="1">
      <c r="A9" s="148" t="s">
        <v>174</v>
      </c>
      <c r="B9" s="1805">
        <v>0</v>
      </c>
      <c r="C9" s="1806">
        <f t="shared" ref="C9:G9" si="1">SUM(C7:C8)</f>
        <v>62712.962320611594</v>
      </c>
      <c r="D9" s="1806">
        <f t="shared" si="1"/>
        <v>142079.28691118659</v>
      </c>
      <c r="E9" s="1806">
        <f t="shared" si="1"/>
        <v>470892.71807483269</v>
      </c>
      <c r="F9" s="1806">
        <f t="shared" si="1"/>
        <v>660157.12569278956</v>
      </c>
      <c r="G9" s="1807">
        <f t="shared" si="1"/>
        <v>922447.97269328579</v>
      </c>
      <c r="H9" s="3"/>
      <c r="I9" s="3"/>
      <c r="J9" s="3"/>
      <c r="K9" s="3"/>
      <c r="M9" s="3"/>
      <c r="N9" s="3"/>
      <c r="O9" s="3"/>
      <c r="P9" s="3"/>
      <c r="Q9" s="3"/>
      <c r="R9" s="3"/>
      <c r="S9" s="3"/>
      <c r="T9" s="3"/>
    </row>
    <row r="10" spans="1:20" ht="15.75" customHeight="1">
      <c r="A10" s="3"/>
      <c r="B10" s="1795"/>
      <c r="C10" s="1795"/>
      <c r="D10" s="1795"/>
      <c r="E10" s="1795"/>
      <c r="F10" s="1795"/>
      <c r="G10" s="1795"/>
      <c r="H10" s="3"/>
      <c r="I10" s="3"/>
      <c r="J10" s="3"/>
      <c r="K10" s="3"/>
      <c r="M10" s="3"/>
      <c r="N10" s="3"/>
      <c r="O10" s="3"/>
      <c r="P10" s="3"/>
      <c r="Q10" s="3"/>
      <c r="R10" s="3"/>
      <c r="S10" s="3"/>
      <c r="T10" s="3"/>
    </row>
    <row r="11" spans="1:20" ht="15.75" customHeight="1">
      <c r="A11" s="133" t="s">
        <v>175</v>
      </c>
      <c r="B11" s="1808" t="s">
        <v>22</v>
      </c>
      <c r="C11" s="1809" t="s">
        <v>23</v>
      </c>
      <c r="D11" s="1809" t="s">
        <v>24</v>
      </c>
      <c r="E11" s="1809" t="s">
        <v>25</v>
      </c>
      <c r="F11" s="1809" t="s">
        <v>26</v>
      </c>
      <c r="G11" s="1810" t="s">
        <v>27</v>
      </c>
      <c r="H11" s="3"/>
      <c r="I11" s="3"/>
      <c r="J11" s="3"/>
      <c r="K11" s="3"/>
      <c r="M11" s="3"/>
      <c r="N11" s="3"/>
      <c r="O11" s="3"/>
      <c r="P11" s="3"/>
      <c r="Q11" s="3"/>
      <c r="R11" s="3"/>
      <c r="S11" s="3"/>
      <c r="T11" s="3"/>
    </row>
    <row r="12" spans="1:20" ht="15.75" customHeight="1">
      <c r="A12" s="137" t="s">
        <v>176</v>
      </c>
      <c r="B12" s="1811">
        <f>'OM PERT Model for Demand &amp; Lead'!$I$6</f>
        <v>0.55555555555555558</v>
      </c>
      <c r="C12" s="1812">
        <f>'OM PERT Model for Demand &amp; Lead'!$I$6</f>
        <v>0.55555555555555558</v>
      </c>
      <c r="D12" s="1812">
        <f>'OM PERT Model for Demand &amp; Lead'!$I$6</f>
        <v>0.55555555555555558</v>
      </c>
      <c r="E12" s="1812">
        <f>'OM PERT Model for Demand &amp; Lead'!$I$6</f>
        <v>0.55555555555555558</v>
      </c>
      <c r="F12" s="1812">
        <f>'OM PERT Model for Demand &amp; Lead'!$I$6</f>
        <v>0.55555555555555558</v>
      </c>
      <c r="G12" s="1813">
        <f>'OM PERT Model for Demand &amp; Lead'!$I$6</f>
        <v>0.55555555555555558</v>
      </c>
      <c r="H12" s="132"/>
      <c r="I12" s="23"/>
      <c r="J12" s="23"/>
      <c r="K12" s="69"/>
      <c r="M12" s="3"/>
      <c r="N12" s="3"/>
      <c r="O12" s="3"/>
      <c r="P12" s="3"/>
      <c r="Q12" s="3"/>
      <c r="R12" s="3"/>
      <c r="S12" s="3"/>
      <c r="T12" s="3"/>
    </row>
    <row r="13" spans="1:20" ht="15.75" customHeight="1">
      <c r="A13" s="140" t="s">
        <v>177</v>
      </c>
      <c r="B13" s="1814">
        <f>'OM PERT Model for Demand &amp; Lead'!$J$6</f>
        <v>0.44444444444444442</v>
      </c>
      <c r="C13" s="1800">
        <f>'OM PERT Model for Demand &amp; Lead'!$J$6</f>
        <v>0.44444444444444442</v>
      </c>
      <c r="D13" s="1800">
        <f>'OM PERT Model for Demand &amp; Lead'!$J$6</f>
        <v>0.44444444444444442</v>
      </c>
      <c r="E13" s="1800">
        <f>'OM PERT Model for Demand &amp; Lead'!$J$6</f>
        <v>0.44444444444444442</v>
      </c>
      <c r="F13" s="1800">
        <f>'OM PERT Model for Demand &amp; Lead'!$J$6</f>
        <v>0.44444444444444442</v>
      </c>
      <c r="G13" s="1801">
        <f>'OM PERT Model for Demand &amp; Lead'!$J$6</f>
        <v>0.44444444444444442</v>
      </c>
      <c r="H13" s="3"/>
      <c r="I13" s="23"/>
      <c r="J13" s="23"/>
      <c r="K13" s="69"/>
      <c r="M13" s="3"/>
      <c r="N13" s="3"/>
      <c r="O13" s="3"/>
      <c r="P13" s="3"/>
      <c r="Q13" s="3"/>
      <c r="R13" s="3"/>
      <c r="S13" s="3"/>
      <c r="T13" s="3"/>
    </row>
    <row r="14" spans="1:20" ht="15.75" customHeight="1">
      <c r="A14" s="143"/>
      <c r="B14" s="1799"/>
      <c r="C14" s="1815"/>
      <c r="D14" s="1815"/>
      <c r="E14" s="1815"/>
      <c r="F14" s="1815"/>
      <c r="G14" s="1816"/>
      <c r="H14" s="3"/>
      <c r="I14" s="3"/>
      <c r="J14" s="3"/>
      <c r="K14" s="3"/>
      <c r="M14" s="3"/>
      <c r="N14" s="3"/>
      <c r="O14" s="3"/>
      <c r="P14" s="3"/>
      <c r="Q14" s="3"/>
      <c r="R14" s="3"/>
      <c r="S14" s="3"/>
      <c r="T14" s="3"/>
    </row>
    <row r="15" spans="1:20" ht="15.75" customHeight="1">
      <c r="A15" s="140" t="s">
        <v>178</v>
      </c>
      <c r="B15" s="1799">
        <f>(30*(B12*('OM COGS Yr 0-5'!B41*'OM COGS Yr 0-5'!B4))/365)</f>
        <v>4269.3917808219176</v>
      </c>
      <c r="C15" s="1800">
        <f>(30*(C12*('OM COGS Yr 0-5'!C41*'OM COGS Yr 0-5'!B5))/365)</f>
        <v>21969.144657534249</v>
      </c>
      <c r="D15" s="1800">
        <f>(30*(D12*('OM COGS Yr 0-5'!D41*'OM COGS Yr 0-5'!B6))/365)</f>
        <v>38514.183254794531</v>
      </c>
      <c r="E15" s="1800">
        <f>(30*(E12*('OM COGS Yr 0-5'!E41*'OM COGS Yr 0-5'!B7))/365)</f>
        <v>80932.673227397274</v>
      </c>
      <c r="F15" s="1800">
        <f>(30*(F12*('OM COGS Yr 0-5'!F41*'OM COGS Yr 0-5'!B8))/365)</f>
        <v>100452.02005479454</v>
      </c>
      <c r="G15" s="1816">
        <f>(30*(G12*('OM COGS Yr 0-5'!G41*'OM COGS Yr 0-5'!B9))/365)</f>
        <v>123846.51677808221</v>
      </c>
      <c r="H15" s="3"/>
      <c r="I15" s="14"/>
      <c r="J15" s="3"/>
      <c r="K15" s="3"/>
      <c r="M15" s="3"/>
      <c r="N15" s="3"/>
      <c r="O15" s="3"/>
      <c r="P15" s="3"/>
      <c r="Q15" s="3"/>
      <c r="R15" s="3"/>
      <c r="S15" s="3"/>
      <c r="T15" s="3"/>
    </row>
    <row r="16" spans="1:20" ht="15.75" customHeight="1">
      <c r="A16" s="147" t="s">
        <v>179</v>
      </c>
      <c r="B16" s="1802">
        <v>0</v>
      </c>
      <c r="C16" s="1817">
        <v>0</v>
      </c>
      <c r="D16" s="1817">
        <v>0</v>
      </c>
      <c r="E16" s="1817">
        <v>0</v>
      </c>
      <c r="F16" s="1817">
        <v>0</v>
      </c>
      <c r="G16" s="1818">
        <v>0</v>
      </c>
      <c r="H16" s="3"/>
      <c r="I16" s="3"/>
      <c r="J16" s="3"/>
      <c r="K16" s="3"/>
      <c r="M16" s="3"/>
      <c r="N16" s="3"/>
      <c r="O16" s="3"/>
      <c r="P16" s="3"/>
      <c r="Q16" s="3"/>
      <c r="R16" s="3"/>
      <c r="S16" s="3"/>
      <c r="T16" s="3"/>
    </row>
    <row r="17" spans="1:20" ht="15.75" customHeight="1">
      <c r="A17" s="148" t="s">
        <v>180</v>
      </c>
      <c r="B17" s="1805">
        <f t="shared" ref="B17:G17" si="2">SUM(B15:B16)</f>
        <v>4269.3917808219176</v>
      </c>
      <c r="C17" s="1819">
        <f t="shared" si="2"/>
        <v>21969.144657534249</v>
      </c>
      <c r="D17" s="1819">
        <f t="shared" si="2"/>
        <v>38514.183254794531</v>
      </c>
      <c r="E17" s="1819">
        <f t="shared" si="2"/>
        <v>80932.673227397274</v>
      </c>
      <c r="F17" s="1819">
        <f t="shared" si="2"/>
        <v>100452.02005479454</v>
      </c>
      <c r="G17" s="1820">
        <f t="shared" si="2"/>
        <v>123846.51677808221</v>
      </c>
      <c r="H17" s="3"/>
      <c r="I17" s="3"/>
      <c r="J17" s="3"/>
      <c r="K17" s="3"/>
      <c r="M17" s="3"/>
      <c r="N17" s="3"/>
      <c r="O17" s="3"/>
      <c r="P17" s="3"/>
      <c r="Q17" s="3"/>
      <c r="R17" s="3"/>
      <c r="S17" s="3"/>
      <c r="T17" s="3"/>
    </row>
    <row r="18" spans="1:20" ht="15.75" customHeight="1">
      <c r="M18" s="23"/>
      <c r="N18" s="3"/>
      <c r="O18" s="3"/>
      <c r="P18" s="3"/>
      <c r="Q18" s="3"/>
      <c r="R18" s="3"/>
      <c r="S18" s="3"/>
      <c r="T18" s="3"/>
    </row>
    <row r="19" spans="1:20" ht="16">
      <c r="M19" s="23"/>
      <c r="N19" s="3"/>
      <c r="O19" s="3"/>
      <c r="P19" s="3"/>
      <c r="Q19" s="3"/>
      <c r="R19" s="3"/>
      <c r="S19" s="3"/>
      <c r="T19" s="3"/>
    </row>
    <row r="20" spans="1:20" ht="16">
      <c r="M20" s="3"/>
      <c r="N20" s="3"/>
      <c r="O20" s="3"/>
      <c r="P20" s="3"/>
      <c r="Q20" s="3"/>
      <c r="R20" s="3"/>
      <c r="S20" s="3"/>
      <c r="T20" s="3"/>
    </row>
    <row r="21" spans="1:20" ht="16">
      <c r="M21" s="3"/>
      <c r="N21" s="3"/>
      <c r="O21" s="3"/>
      <c r="P21" s="3"/>
      <c r="Q21" s="3"/>
      <c r="R21" s="3"/>
      <c r="S21" s="3"/>
      <c r="T21" s="3"/>
    </row>
    <row r="22" spans="1:20" ht="16">
      <c r="M22" s="3"/>
      <c r="N22" s="3"/>
      <c r="O22" s="3"/>
      <c r="P22" s="3"/>
      <c r="Q22" s="3"/>
      <c r="R22" s="3"/>
      <c r="S22" s="3"/>
      <c r="T22" s="3"/>
    </row>
    <row r="23" spans="1:20" ht="16">
      <c r="M23" s="3"/>
      <c r="N23" s="3"/>
      <c r="O23" s="3"/>
      <c r="P23" s="3"/>
      <c r="Q23" s="3"/>
      <c r="R23" s="3"/>
      <c r="S23" s="3"/>
      <c r="T23" s="3"/>
    </row>
    <row r="24" spans="1:20" ht="16">
      <c r="L24" s="3"/>
      <c r="M24" s="3"/>
      <c r="N24" s="3"/>
      <c r="O24" s="3"/>
      <c r="P24" s="3"/>
      <c r="Q24" s="3"/>
      <c r="R24" s="3"/>
      <c r="S24" s="3"/>
      <c r="T24" s="3"/>
    </row>
    <row r="25" spans="1:20" ht="16">
      <c r="A25" s="3"/>
      <c r="B25" s="3"/>
      <c r="C25" s="3"/>
      <c r="D25" s="3"/>
      <c r="E25" s="3"/>
      <c r="F25" s="3"/>
      <c r="G25" s="3"/>
      <c r="H25" s="3"/>
      <c r="I25" s="3"/>
      <c r="J25" s="3"/>
      <c r="K25" s="3"/>
      <c r="L25" s="3"/>
      <c r="M25" s="3"/>
      <c r="N25" s="3"/>
      <c r="O25" s="3"/>
      <c r="P25" s="3"/>
      <c r="Q25" s="3"/>
      <c r="R25" s="3"/>
      <c r="S25" s="3"/>
      <c r="T25" s="3"/>
    </row>
    <row r="26" spans="1:20" ht="16">
      <c r="A26" s="3"/>
      <c r="B26" s="3"/>
      <c r="C26" s="3"/>
      <c r="D26" s="3"/>
      <c r="E26" s="3"/>
      <c r="F26" s="3"/>
      <c r="G26" s="3"/>
      <c r="H26" s="3"/>
      <c r="I26" s="3"/>
      <c r="J26" s="3"/>
      <c r="K26" s="3"/>
      <c r="L26" s="3"/>
      <c r="M26" s="3"/>
      <c r="N26" s="3"/>
      <c r="O26" s="3"/>
      <c r="P26" s="3"/>
      <c r="Q26" s="3"/>
      <c r="R26" s="3"/>
      <c r="S26" s="3"/>
      <c r="T26" s="3"/>
    </row>
    <row r="27" spans="1:20" ht="16">
      <c r="A27" s="3"/>
      <c r="B27" s="3"/>
      <c r="C27" s="3"/>
      <c r="D27" s="3"/>
      <c r="E27" s="3"/>
      <c r="F27" s="3"/>
      <c r="G27" s="3"/>
      <c r="H27" s="3"/>
      <c r="I27" s="3"/>
      <c r="J27" s="3"/>
      <c r="K27" s="3"/>
      <c r="L27" s="3"/>
      <c r="M27" s="3"/>
      <c r="N27" s="3"/>
      <c r="O27" s="3"/>
      <c r="P27" s="3"/>
      <c r="Q27" s="3"/>
      <c r="R27" s="3"/>
      <c r="S27" s="3"/>
      <c r="T27" s="3"/>
    </row>
  </sheetData>
  <hyperlinks>
    <hyperlink ref="A1" location="Index!A1" display="Index" xr:uid="{00000000-0004-0000-11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outlinePr summaryBelow="0" summaryRight="0"/>
  </sheetPr>
  <dimension ref="A1:Q60"/>
  <sheetViews>
    <sheetView topLeftCell="A4" zoomScale="84" workbookViewId="0">
      <selection activeCell="O53" sqref="O53"/>
    </sheetView>
  </sheetViews>
  <sheetFormatPr baseColWidth="10" defaultColWidth="14.33203125" defaultRowHeight="15.75" customHeight="1"/>
  <cols>
    <col min="1" max="1" width="36.83203125" customWidth="1"/>
    <col min="2" max="2" width="12.83203125" customWidth="1"/>
    <col min="3" max="3" width="13.83203125" customWidth="1"/>
    <col min="11" max="11" width="18.1640625" customWidth="1"/>
    <col min="12" max="12" width="18.83203125" customWidth="1"/>
    <col min="15" max="15" width="63.33203125" customWidth="1"/>
  </cols>
  <sheetData>
    <row r="1" spans="1:17" ht="26">
      <c r="A1" s="116" t="s">
        <v>0</v>
      </c>
    </row>
    <row r="3" spans="1:17" ht="19" customHeight="1" thickBot="1">
      <c r="A3" s="150" t="s">
        <v>181</v>
      </c>
      <c r="K3" s="835"/>
      <c r="L3" s="835"/>
      <c r="M3" s="835"/>
      <c r="N3" s="835"/>
      <c r="O3" s="835"/>
      <c r="P3" s="835"/>
    </row>
    <row r="4" spans="1:17" ht="19" customHeight="1" thickBot="1">
      <c r="A4" s="1239">
        <v>16570000</v>
      </c>
      <c r="K4" s="835"/>
      <c r="L4" s="835"/>
      <c r="M4" s="835"/>
      <c r="N4" s="835"/>
      <c r="O4" s="835"/>
      <c r="P4" s="835"/>
    </row>
    <row r="5" spans="1:17" ht="15.75" customHeight="1">
      <c r="K5" s="962"/>
      <c r="L5" s="962"/>
      <c r="M5" s="962"/>
      <c r="N5" s="962"/>
      <c r="O5" s="962"/>
      <c r="P5" s="962"/>
      <c r="Q5" s="962"/>
    </row>
    <row r="6" spans="1:17" ht="15.75" customHeight="1">
      <c r="K6" s="962"/>
      <c r="L6" s="962"/>
      <c r="M6" s="962"/>
      <c r="N6" s="962"/>
      <c r="O6" s="962"/>
      <c r="P6" s="962"/>
      <c r="Q6" s="962"/>
    </row>
    <row r="7" spans="1:17" ht="13"/>
    <row r="8" spans="1:17" ht="13"/>
    <row r="9" spans="1:17" ht="13">
      <c r="B9" s="15"/>
    </row>
    <row r="10" spans="1:17" ht="13"/>
    <row r="11" spans="1:17" ht="13"/>
    <row r="12" spans="1:17" ht="13"/>
    <row r="14" spans="1:17" ht="13"/>
    <row r="15" spans="1:17" ht="13"/>
    <row r="23" spans="1:17" ht="13">
      <c r="A23" s="1"/>
      <c r="B23" s="1"/>
    </row>
    <row r="29" spans="1:17" ht="16">
      <c r="B29" s="3"/>
    </row>
    <row r="30" spans="1:17" ht="16">
      <c r="B30" s="3"/>
      <c r="K30" s="963"/>
      <c r="L30" s="964"/>
      <c r="M30" s="964"/>
      <c r="N30" s="964"/>
      <c r="O30" s="964"/>
      <c r="P30" s="964"/>
      <c r="Q30" s="965"/>
    </row>
    <row r="31" spans="1:17" ht="16">
      <c r="A31" s="3"/>
      <c r="B31" s="3"/>
    </row>
    <row r="35" spans="1:13" ht="15.75" customHeight="1" thickBot="1"/>
    <row r="36" spans="1:13" ht="17" customHeight="1" thickBot="1">
      <c r="A36" s="1242" t="s">
        <v>918</v>
      </c>
      <c r="B36" s="1981" t="s">
        <v>864</v>
      </c>
      <c r="C36" s="1982"/>
      <c r="D36" s="1981" t="s">
        <v>865</v>
      </c>
      <c r="E36" s="1982"/>
      <c r="F36" s="1981" t="s">
        <v>375</v>
      </c>
      <c r="G36" s="1983"/>
      <c r="H36" s="966"/>
      <c r="I36" s="966"/>
      <c r="J36" s="966"/>
      <c r="K36" s="966"/>
      <c r="L36" s="966"/>
      <c r="M36" s="966"/>
    </row>
    <row r="37" spans="1:13" ht="17" customHeight="1" thickBot="1">
      <c r="A37" s="1243" t="s">
        <v>919</v>
      </c>
      <c r="B37" s="1240">
        <v>17</v>
      </c>
      <c r="C37" s="1241">
        <v>0.25</v>
      </c>
      <c r="D37" s="1240" t="s">
        <v>191</v>
      </c>
      <c r="E37" s="1241">
        <v>0</v>
      </c>
      <c r="F37" s="1249">
        <f t="shared" ref="F37:G41" si="0">SUM(B37,D37)</f>
        <v>17</v>
      </c>
      <c r="G37" s="1250">
        <f>SUM(,C37,E37)</f>
        <v>0.25</v>
      </c>
      <c r="H37" s="966"/>
      <c r="I37" s="966"/>
      <c r="J37" s="966"/>
      <c r="K37" s="966"/>
      <c r="L37" s="966"/>
      <c r="M37" s="966"/>
    </row>
    <row r="38" spans="1:13" ht="17" customHeight="1" thickBot="1">
      <c r="A38" s="1243" t="s">
        <v>920</v>
      </c>
      <c r="B38" s="1240" t="s">
        <v>191</v>
      </c>
      <c r="C38" s="1241">
        <v>0</v>
      </c>
      <c r="D38" s="1240">
        <v>3</v>
      </c>
      <c r="E38" s="1241">
        <v>0.42857142857142855</v>
      </c>
      <c r="F38" s="1249">
        <f t="shared" si="0"/>
        <v>3</v>
      </c>
      <c r="G38" s="1250">
        <f t="shared" si="0"/>
        <v>0.42857142857142855</v>
      </c>
      <c r="H38" s="966"/>
      <c r="I38" s="966"/>
      <c r="J38" s="966"/>
      <c r="K38" s="966"/>
      <c r="L38" s="966"/>
      <c r="M38" s="966"/>
    </row>
    <row r="39" spans="1:13" ht="17" customHeight="1" thickBot="1">
      <c r="A39" s="1243" t="s">
        <v>921</v>
      </c>
      <c r="B39" s="1240" t="s">
        <v>191</v>
      </c>
      <c r="C39" s="1241">
        <v>0</v>
      </c>
      <c r="D39" s="1240" t="s">
        <v>191</v>
      </c>
      <c r="E39" s="1241">
        <v>0</v>
      </c>
      <c r="F39" s="1249">
        <f t="shared" si="0"/>
        <v>0</v>
      </c>
      <c r="G39" s="1250">
        <f t="shared" si="0"/>
        <v>0</v>
      </c>
      <c r="H39" s="966"/>
      <c r="I39" s="966"/>
      <c r="J39" s="966"/>
      <c r="K39" s="966"/>
      <c r="L39" s="966"/>
      <c r="M39" s="966"/>
    </row>
    <row r="40" spans="1:13" ht="17" customHeight="1">
      <c r="A40" s="1244" t="s">
        <v>922</v>
      </c>
      <c r="B40" s="1240">
        <v>4</v>
      </c>
      <c r="C40" s="1241">
        <v>0.16</v>
      </c>
      <c r="D40" s="1240" t="s">
        <v>191</v>
      </c>
      <c r="E40" s="1241">
        <v>0</v>
      </c>
      <c r="F40" s="1249">
        <f t="shared" si="0"/>
        <v>4</v>
      </c>
      <c r="G40" s="1250">
        <f t="shared" si="0"/>
        <v>0.16</v>
      </c>
      <c r="H40" s="966"/>
      <c r="I40" s="966"/>
      <c r="J40" s="966"/>
      <c r="K40" s="966"/>
      <c r="L40" s="966"/>
      <c r="M40" s="966"/>
    </row>
    <row r="41" spans="1:13" ht="17" customHeight="1" thickBot="1">
      <c r="A41" s="1245" t="s">
        <v>923</v>
      </c>
      <c r="B41" s="1246" t="s">
        <v>191</v>
      </c>
      <c r="C41" s="1247">
        <v>0</v>
      </c>
      <c r="D41" s="1246" t="s">
        <v>191</v>
      </c>
      <c r="E41" s="1247">
        <v>0</v>
      </c>
      <c r="F41" s="1251">
        <f t="shared" si="0"/>
        <v>0</v>
      </c>
      <c r="G41" s="1252">
        <f t="shared" si="0"/>
        <v>0</v>
      </c>
      <c r="H41" s="966"/>
      <c r="I41" s="966"/>
      <c r="J41" s="966"/>
      <c r="K41" s="966"/>
      <c r="L41" s="966"/>
      <c r="M41" s="966"/>
    </row>
    <row r="42" spans="1:13" ht="17" customHeight="1">
      <c r="A42" s="1990" t="s">
        <v>933</v>
      </c>
      <c r="B42" s="1991"/>
      <c r="C42" s="1991"/>
      <c r="D42" s="1991"/>
      <c r="E42" s="1991"/>
      <c r="F42" s="1991"/>
      <c r="G42" s="1991"/>
      <c r="H42" s="1991"/>
      <c r="I42" s="1991"/>
      <c r="J42" s="1991"/>
      <c r="K42" s="1991"/>
      <c r="L42" s="1991"/>
      <c r="M42" s="1991"/>
    </row>
    <row r="43" spans="1:13" ht="17" customHeight="1">
      <c r="A43" s="970"/>
      <c r="B43" s="970"/>
      <c r="C43" s="970"/>
      <c r="D43" s="970"/>
      <c r="E43" s="970"/>
      <c r="F43" s="970"/>
      <c r="G43" s="970"/>
      <c r="H43" s="966"/>
      <c r="I43" s="966"/>
      <c r="J43" s="966"/>
      <c r="K43" s="966"/>
      <c r="L43" s="966"/>
      <c r="M43" s="966"/>
    </row>
    <row r="44" spans="1:13" ht="17" customHeight="1">
      <c r="A44" s="970"/>
      <c r="B44" s="970"/>
      <c r="C44" s="970"/>
      <c r="D44" s="970"/>
      <c r="E44" s="970"/>
      <c r="F44" s="970"/>
      <c r="G44" s="970"/>
      <c r="H44" s="966"/>
      <c r="I44" s="966"/>
      <c r="J44" s="966"/>
      <c r="K44" s="966"/>
      <c r="L44" s="966"/>
      <c r="M44" s="966"/>
    </row>
    <row r="45" spans="1:13" ht="17" customHeight="1" thickBot="1">
      <c r="A45" s="970"/>
      <c r="B45" s="970"/>
      <c r="C45" s="970"/>
      <c r="D45" s="970"/>
      <c r="E45" s="970"/>
      <c r="F45" s="970"/>
      <c r="G45" s="970"/>
      <c r="H45" s="966"/>
      <c r="I45" s="966"/>
      <c r="J45" s="966"/>
      <c r="K45" s="966"/>
      <c r="L45" s="966"/>
      <c r="M45" s="966"/>
    </row>
    <row r="46" spans="1:13" ht="17" customHeight="1" thickBot="1">
      <c r="A46" s="975" t="s">
        <v>936</v>
      </c>
      <c r="B46" s="1984" t="s">
        <v>864</v>
      </c>
      <c r="C46" s="1985"/>
      <c r="D46" s="1986" t="s">
        <v>865</v>
      </c>
      <c r="E46" s="1987"/>
      <c r="F46" s="1984" t="s">
        <v>375</v>
      </c>
      <c r="G46" s="1987"/>
      <c r="H46" s="966"/>
      <c r="I46" s="966"/>
      <c r="J46" s="966"/>
      <c r="K46" s="966"/>
      <c r="L46" s="966"/>
      <c r="M46" s="966"/>
    </row>
    <row r="47" spans="1:13" ht="17" customHeight="1" thickBot="1">
      <c r="A47" s="967" t="s">
        <v>924</v>
      </c>
      <c r="B47" s="1253">
        <v>13</v>
      </c>
      <c r="C47" s="1254">
        <v>0.1368421052631579</v>
      </c>
      <c r="D47" s="1253">
        <v>2</v>
      </c>
      <c r="E47" s="1254">
        <v>2.1052631578947368E-2</v>
      </c>
      <c r="F47" s="971">
        <f t="shared" ref="F47:G51" si="1">SUM(B47,D47)</f>
        <v>15</v>
      </c>
      <c r="G47" s="972">
        <f t="shared" si="1"/>
        <v>0.15789473684210528</v>
      </c>
      <c r="H47" s="966"/>
      <c r="I47" s="966"/>
      <c r="J47" s="966"/>
      <c r="K47" s="966"/>
      <c r="L47" s="966"/>
      <c r="M47" s="966"/>
    </row>
    <row r="48" spans="1:13" ht="17" customHeight="1" thickBot="1">
      <c r="A48" s="967" t="s">
        <v>925</v>
      </c>
      <c r="B48" s="1240">
        <v>9</v>
      </c>
      <c r="C48" s="1241">
        <v>0.40909090909090912</v>
      </c>
      <c r="D48" s="1240" t="s">
        <v>191</v>
      </c>
      <c r="E48" s="1241">
        <v>0</v>
      </c>
      <c r="F48" s="968">
        <f t="shared" si="1"/>
        <v>9</v>
      </c>
      <c r="G48" s="969">
        <f t="shared" si="1"/>
        <v>0.40909090909090912</v>
      </c>
      <c r="H48" s="966"/>
      <c r="I48" s="966"/>
      <c r="J48" s="966"/>
      <c r="K48" s="966"/>
      <c r="L48" s="966"/>
      <c r="M48" s="966"/>
    </row>
    <row r="49" spans="1:13" ht="17" customHeight="1" thickBot="1">
      <c r="A49" s="967" t="s">
        <v>926</v>
      </c>
      <c r="B49" s="1240">
        <v>4</v>
      </c>
      <c r="C49" s="1241">
        <v>0.36363636363636365</v>
      </c>
      <c r="D49" s="1240">
        <v>1</v>
      </c>
      <c r="E49" s="1241">
        <v>9.0909090909090912E-2</v>
      </c>
      <c r="F49" s="968">
        <f t="shared" si="1"/>
        <v>5</v>
      </c>
      <c r="G49" s="969">
        <f t="shared" si="1"/>
        <v>0.45454545454545459</v>
      </c>
      <c r="H49" s="966"/>
      <c r="I49" s="966"/>
      <c r="J49" s="966"/>
      <c r="K49" s="966"/>
      <c r="L49" s="966"/>
      <c r="M49" s="966"/>
    </row>
    <row r="50" spans="1:13" ht="17" customHeight="1" thickBot="1">
      <c r="A50" s="967" t="s">
        <v>927</v>
      </c>
      <c r="B50" s="1240" t="s">
        <v>191</v>
      </c>
      <c r="C50" s="1241">
        <v>0</v>
      </c>
      <c r="D50" s="1240" t="s">
        <v>191</v>
      </c>
      <c r="E50" s="1241">
        <v>0</v>
      </c>
      <c r="F50" s="968">
        <f t="shared" si="1"/>
        <v>0</v>
      </c>
      <c r="G50" s="969">
        <f t="shared" si="1"/>
        <v>0</v>
      </c>
      <c r="H50" s="966"/>
      <c r="I50" s="966"/>
      <c r="J50" s="966"/>
      <c r="K50" s="966"/>
      <c r="L50" s="966"/>
      <c r="M50" s="966"/>
    </row>
    <row r="51" spans="1:13" ht="17" customHeight="1" thickBot="1">
      <c r="A51" s="967" t="s">
        <v>928</v>
      </c>
      <c r="B51" s="1255" t="s">
        <v>191</v>
      </c>
      <c r="C51" s="1256">
        <v>0</v>
      </c>
      <c r="D51" s="1255">
        <v>1</v>
      </c>
      <c r="E51" s="1256">
        <v>1</v>
      </c>
      <c r="F51" s="973">
        <f t="shared" si="1"/>
        <v>1</v>
      </c>
      <c r="G51" s="974">
        <f t="shared" si="1"/>
        <v>1</v>
      </c>
      <c r="H51" s="966"/>
      <c r="I51" s="966"/>
      <c r="J51" s="966"/>
      <c r="K51" s="966"/>
      <c r="L51" s="966"/>
      <c r="M51" s="966"/>
    </row>
    <row r="52" spans="1:13" ht="17" customHeight="1">
      <c r="A52" s="1990" t="s">
        <v>934</v>
      </c>
      <c r="B52" s="1991"/>
      <c r="C52" s="1991"/>
      <c r="D52" s="1991"/>
      <c r="E52" s="1991"/>
      <c r="F52" s="1991"/>
      <c r="G52" s="1991"/>
      <c r="H52" s="1991"/>
      <c r="I52" s="1991"/>
      <c r="J52" s="1991"/>
      <c r="K52" s="1991"/>
      <c r="L52" s="1991"/>
      <c r="M52" s="1991"/>
    </row>
    <row r="53" spans="1:13" ht="17" customHeight="1">
      <c r="A53" s="970"/>
      <c r="B53" s="970"/>
      <c r="C53" s="970"/>
      <c r="D53" s="970"/>
      <c r="E53" s="970"/>
      <c r="F53" s="970"/>
      <c r="G53" s="970"/>
      <c r="H53" s="966"/>
      <c r="I53" s="966"/>
      <c r="J53" s="966"/>
      <c r="K53" s="966"/>
      <c r="L53" s="966"/>
      <c r="M53" s="966"/>
    </row>
    <row r="54" spans="1:13" ht="17" customHeight="1">
      <c r="A54" s="970"/>
      <c r="B54" s="970"/>
      <c r="C54" s="970"/>
      <c r="D54" s="970"/>
      <c r="E54" s="970"/>
      <c r="F54" s="970"/>
      <c r="G54" s="970"/>
      <c r="H54" s="966"/>
      <c r="I54" s="966"/>
      <c r="J54" s="966"/>
      <c r="K54" s="966"/>
      <c r="L54" s="966"/>
      <c r="M54" s="966"/>
    </row>
    <row r="55" spans="1:13" ht="17" customHeight="1" thickBot="1">
      <c r="A55" s="966"/>
      <c r="B55" s="966"/>
      <c r="C55" s="966"/>
      <c r="D55" s="966"/>
      <c r="E55" s="966"/>
      <c r="F55" s="966"/>
      <c r="G55" s="966"/>
      <c r="H55" s="966"/>
      <c r="I55" s="966"/>
      <c r="J55" s="966"/>
      <c r="K55" s="966"/>
      <c r="L55" s="966"/>
      <c r="M55" s="966"/>
    </row>
    <row r="56" spans="1:13" ht="17" customHeight="1" thickBot="1">
      <c r="A56" s="1242" t="s">
        <v>929</v>
      </c>
      <c r="B56" s="1981" t="s">
        <v>864</v>
      </c>
      <c r="C56" s="1982"/>
      <c r="D56" s="1981" t="s">
        <v>865</v>
      </c>
      <c r="E56" s="1982"/>
      <c r="F56" s="1988" t="s">
        <v>375</v>
      </c>
      <c r="G56" s="1989"/>
      <c r="H56" s="966"/>
      <c r="I56" s="966"/>
      <c r="J56" s="966"/>
      <c r="K56" s="966"/>
      <c r="L56" s="966"/>
      <c r="M56" s="966"/>
    </row>
    <row r="57" spans="1:13" ht="17" customHeight="1" thickBot="1">
      <c r="A57" s="1243" t="s">
        <v>930</v>
      </c>
      <c r="B57" s="1240">
        <v>14</v>
      </c>
      <c r="C57" s="1241">
        <v>0.2857142857142857</v>
      </c>
      <c r="D57" s="1240"/>
      <c r="E57" s="1241">
        <v>0</v>
      </c>
      <c r="F57" s="968">
        <v>49</v>
      </c>
      <c r="G57" s="1257">
        <f t="shared" ref="G57:G59" si="2">SUM(C57,E57)</f>
        <v>0.2857142857142857</v>
      </c>
      <c r="H57" s="966"/>
      <c r="I57" s="966"/>
      <c r="J57" s="966"/>
      <c r="K57" s="966"/>
      <c r="L57" s="966"/>
      <c r="M57" s="966"/>
    </row>
    <row r="58" spans="1:13" ht="17" customHeight="1" thickBot="1">
      <c r="A58" s="1243" t="s">
        <v>931</v>
      </c>
      <c r="B58" s="1240">
        <v>4</v>
      </c>
      <c r="C58" s="1241">
        <v>0.125</v>
      </c>
      <c r="D58" s="1240">
        <v>1</v>
      </c>
      <c r="E58" s="1241">
        <v>3.125E-2</v>
      </c>
      <c r="F58" s="968">
        <v>32</v>
      </c>
      <c r="G58" s="1257">
        <f t="shared" si="2"/>
        <v>0.15625</v>
      </c>
      <c r="H58" s="966"/>
      <c r="I58" s="966"/>
      <c r="J58" s="966"/>
      <c r="K58" s="966"/>
      <c r="L58" s="966"/>
      <c r="M58" s="966"/>
    </row>
    <row r="59" spans="1:13" ht="17" customHeight="1" thickBot="1">
      <c r="A59" s="1258" t="s">
        <v>932</v>
      </c>
      <c r="B59" s="1246"/>
      <c r="C59" s="1247">
        <v>0</v>
      </c>
      <c r="D59" s="1246">
        <v>2</v>
      </c>
      <c r="E59" s="1247">
        <v>0.4</v>
      </c>
      <c r="F59" s="1248">
        <v>5</v>
      </c>
      <c r="G59" s="1259">
        <f t="shared" si="2"/>
        <v>0.4</v>
      </c>
      <c r="H59" s="966"/>
      <c r="I59" s="966"/>
      <c r="J59" s="966"/>
      <c r="K59" s="966"/>
      <c r="L59" s="966"/>
      <c r="M59" s="966"/>
    </row>
    <row r="60" spans="1:13" ht="17" customHeight="1">
      <c r="A60" s="966" t="s">
        <v>935</v>
      </c>
      <c r="B60" s="966"/>
      <c r="C60" s="966"/>
      <c r="D60" s="966"/>
      <c r="E60" s="966"/>
      <c r="F60" s="966"/>
      <c r="G60" s="966"/>
      <c r="H60" s="966"/>
      <c r="I60" s="966"/>
      <c r="J60" s="966"/>
      <c r="K60" s="966"/>
      <c r="L60" s="966"/>
      <c r="M60" s="966"/>
    </row>
  </sheetData>
  <mergeCells count="11">
    <mergeCell ref="B56:C56"/>
    <mergeCell ref="D56:E56"/>
    <mergeCell ref="F56:G56"/>
    <mergeCell ref="A42:M42"/>
    <mergeCell ref="A52:M52"/>
    <mergeCell ref="B36:C36"/>
    <mergeCell ref="D36:E36"/>
    <mergeCell ref="F36:G36"/>
    <mergeCell ref="B46:C46"/>
    <mergeCell ref="D46:E46"/>
    <mergeCell ref="F46:G46"/>
  </mergeCells>
  <hyperlinks>
    <hyperlink ref="A1" location="Index!A1" display="Index" xr:uid="{00000000-0004-0000-1200-000000000000}"/>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1A636-B25A-AA4D-B768-07AC47869A37}">
  <sheetPr>
    <tabColor rgb="FFFF0000"/>
  </sheetPr>
  <dimension ref="A1:N76"/>
  <sheetViews>
    <sheetView topLeftCell="D1" zoomScale="69" zoomScaleNormal="133" workbookViewId="0">
      <selection activeCell="G23" sqref="G23"/>
    </sheetView>
  </sheetViews>
  <sheetFormatPr baseColWidth="10" defaultColWidth="8.83203125" defaultRowHeight="13"/>
  <cols>
    <col min="1" max="12" width="19" style="892" customWidth="1"/>
    <col min="13" max="13" width="29.6640625" style="892" bestFit="1" customWidth="1"/>
    <col min="14" max="14" width="24.83203125" style="892" bestFit="1" customWidth="1"/>
    <col min="15" max="16384" width="8.83203125" style="892"/>
  </cols>
  <sheetData>
    <row r="1" spans="1:12" ht="27" thickBot="1">
      <c r="A1" s="902" t="s">
        <v>0</v>
      </c>
      <c r="B1" s="934" t="s">
        <v>972</v>
      </c>
    </row>
    <row r="2" spans="1:12" ht="17" thickBot="1">
      <c r="A2" s="1992" t="s">
        <v>856</v>
      </c>
      <c r="B2" s="1993"/>
      <c r="C2" s="934"/>
      <c r="D2" s="934"/>
      <c r="E2" s="934"/>
      <c r="F2" s="934"/>
      <c r="G2" s="934"/>
      <c r="H2" s="934"/>
      <c r="I2" s="934"/>
      <c r="J2" s="934"/>
      <c r="K2" s="934"/>
      <c r="L2" s="934"/>
    </row>
    <row r="3" spans="1:12" ht="17" thickBot="1">
      <c r="A3" s="934" t="s">
        <v>857</v>
      </c>
      <c r="B3" s="934" t="s">
        <v>858</v>
      </c>
      <c r="C3" s="934"/>
      <c r="D3" s="934"/>
      <c r="E3" s="934"/>
      <c r="F3" s="934"/>
      <c r="G3" s="934"/>
      <c r="H3" s="934"/>
      <c r="I3" s="1994" t="s">
        <v>859</v>
      </c>
      <c r="J3" s="1995"/>
      <c r="K3" s="934"/>
      <c r="L3" s="934"/>
    </row>
    <row r="4" spans="1:12" ht="16">
      <c r="A4" s="934" t="s">
        <v>860</v>
      </c>
      <c r="B4" s="934" t="s">
        <v>861</v>
      </c>
      <c r="C4" s="934" t="s">
        <v>862</v>
      </c>
      <c r="D4" s="934" t="s">
        <v>863</v>
      </c>
      <c r="E4" s="934" t="s">
        <v>864</v>
      </c>
      <c r="F4" s="934" t="s">
        <v>865</v>
      </c>
      <c r="G4" s="934" t="s">
        <v>866</v>
      </c>
      <c r="H4" s="934"/>
      <c r="I4" s="935" t="s">
        <v>867</v>
      </c>
      <c r="J4" s="935" t="s">
        <v>868</v>
      </c>
      <c r="K4" s="934"/>
      <c r="L4" s="934"/>
    </row>
    <row r="5" spans="1:12" ht="16">
      <c r="A5" s="936" t="s">
        <v>869</v>
      </c>
      <c r="B5" s="934">
        <v>17</v>
      </c>
      <c r="C5" s="934">
        <v>33</v>
      </c>
      <c r="D5" s="934">
        <v>30</v>
      </c>
      <c r="E5" s="934">
        <v>13</v>
      </c>
      <c r="F5" s="934">
        <v>2</v>
      </c>
      <c r="G5" s="934">
        <v>95</v>
      </c>
      <c r="H5" s="934"/>
      <c r="I5" s="937">
        <f>GETPIVOTDATA("willing price",$A$3,"willing price",1,"PURCHASE?","Probably Buy")</f>
        <v>13</v>
      </c>
      <c r="J5" s="937">
        <f>GETPIVOTDATA("willing price",$A$3,"willing price",1,"PURCHASE?","Definitely Buy")</f>
        <v>2</v>
      </c>
      <c r="K5" s="934"/>
      <c r="L5" s="934"/>
    </row>
    <row r="6" spans="1:12" ht="16">
      <c r="A6" s="936" t="s">
        <v>870</v>
      </c>
      <c r="B6" s="934">
        <v>3</v>
      </c>
      <c r="C6" s="934">
        <v>6</v>
      </c>
      <c r="D6" s="934">
        <v>4</v>
      </c>
      <c r="E6" s="934">
        <v>9</v>
      </c>
      <c r="F6" s="934"/>
      <c r="G6" s="934">
        <v>22</v>
      </c>
      <c r="H6" s="934"/>
      <c r="I6" s="937">
        <f>GETPIVOTDATA("willing price",$A$3,"willing price",2,"PURCHASE?","Probably Buy")</f>
        <v>9</v>
      </c>
      <c r="J6" s="937">
        <f>GETPIVOTDATA("willing price",$A$3,"willing price",2,"PURCHASE?","Definitely Buy")</f>
        <v>0</v>
      </c>
      <c r="K6" s="934"/>
      <c r="L6" s="934"/>
    </row>
    <row r="7" spans="1:12" ht="16">
      <c r="A7" s="936" t="s">
        <v>871</v>
      </c>
      <c r="B7" s="934">
        <v>3</v>
      </c>
      <c r="C7" s="934">
        <v>1</v>
      </c>
      <c r="D7" s="934">
        <v>2</v>
      </c>
      <c r="E7" s="934">
        <v>4</v>
      </c>
      <c r="F7" s="934">
        <v>1</v>
      </c>
      <c r="G7" s="934">
        <v>11</v>
      </c>
      <c r="H7" s="934"/>
      <c r="I7" s="937">
        <f>GETPIVOTDATA("willing price",$A$3,"willing price",3,"PURCHASE?","Probably Buy")</f>
        <v>4</v>
      </c>
      <c r="J7" s="937">
        <f>GETPIVOTDATA("willing price",$A$3,"willing price",3,"PURCHASE?","Definitely Buy")</f>
        <v>1</v>
      </c>
      <c r="K7" s="934"/>
      <c r="L7" s="934"/>
    </row>
    <row r="8" spans="1:12" ht="16">
      <c r="A8" s="936" t="s">
        <v>872</v>
      </c>
      <c r="B8" s="934"/>
      <c r="C8" s="934">
        <v>1</v>
      </c>
      <c r="D8" s="934"/>
      <c r="E8" s="934"/>
      <c r="F8" s="934"/>
      <c r="G8" s="934">
        <v>1</v>
      </c>
      <c r="H8" s="934"/>
      <c r="I8" s="937">
        <f>GETPIVOTDATA("willing price",$A$3,"willing price",4,"PURCHASE?","Probably Buy")</f>
        <v>0</v>
      </c>
      <c r="J8" s="937">
        <f>GETPIVOTDATA("willing price",$A$3,"willing price",4,"PURCHASE?","Definitely Buy")</f>
        <v>0</v>
      </c>
      <c r="K8" s="934"/>
      <c r="L8" s="934"/>
    </row>
    <row r="9" spans="1:12" ht="16">
      <c r="A9" s="936" t="s">
        <v>873</v>
      </c>
      <c r="B9" s="934"/>
      <c r="C9" s="934"/>
      <c r="D9" s="934"/>
      <c r="E9" s="934"/>
      <c r="F9" s="934">
        <v>1</v>
      </c>
      <c r="G9" s="934">
        <v>1</v>
      </c>
      <c r="H9" s="934"/>
      <c r="I9" s="937">
        <f>GETPIVOTDATA("willing price",$A$3,"willing price",5,"PURCHASE?","Probably Buy")</f>
        <v>0</v>
      </c>
      <c r="J9" s="937">
        <f>GETPIVOTDATA("willing price",$A$3,"willing price",5,"PURCHASE?","Definitely Buy")</f>
        <v>1</v>
      </c>
      <c r="K9" s="934"/>
      <c r="L9" s="934"/>
    </row>
    <row r="10" spans="1:12" ht="16">
      <c r="A10" s="936" t="s">
        <v>866</v>
      </c>
      <c r="B10" s="934">
        <v>23</v>
      </c>
      <c r="C10" s="934">
        <v>41</v>
      </c>
      <c r="D10" s="934">
        <v>36</v>
      </c>
      <c r="E10" s="934">
        <v>26</v>
      </c>
      <c r="F10" s="934">
        <v>4</v>
      </c>
      <c r="G10" s="934">
        <v>130</v>
      </c>
      <c r="H10" s="934" t="s">
        <v>381</v>
      </c>
      <c r="I10" s="937">
        <f>SUM(I5:I9)</f>
        <v>26</v>
      </c>
      <c r="J10" s="937">
        <f>SUM(J5:J9)</f>
        <v>4</v>
      </c>
      <c r="K10" s="934"/>
      <c r="L10" s="934"/>
    </row>
    <row r="11" spans="1:12" ht="17" thickBot="1">
      <c r="A11" s="934"/>
      <c r="B11" s="934"/>
      <c r="C11" s="934"/>
      <c r="D11" s="934"/>
      <c r="E11" s="934"/>
      <c r="F11" s="934"/>
      <c r="G11" s="934"/>
      <c r="H11" s="938"/>
      <c r="I11" s="934"/>
      <c r="J11" s="934"/>
      <c r="K11" s="934"/>
      <c r="L11" s="934"/>
    </row>
    <row r="12" spans="1:12" ht="17" thickBot="1">
      <c r="A12" s="934"/>
      <c r="B12" s="934"/>
      <c r="C12" s="934"/>
      <c r="D12" s="939"/>
      <c r="E12" s="934"/>
      <c r="F12" s="940" t="s">
        <v>874</v>
      </c>
      <c r="G12" s="941">
        <f>GETPIVOTDATA("willing price",$A$3)</f>
        <v>130</v>
      </c>
      <c r="H12" s="934"/>
      <c r="I12" s="934"/>
      <c r="J12" s="934"/>
      <c r="K12" s="934"/>
      <c r="L12" s="934"/>
    </row>
    <row r="13" spans="1:12" ht="17" thickBot="1">
      <c r="A13" s="934"/>
      <c r="B13" s="939"/>
      <c r="C13" s="934"/>
      <c r="D13" s="934"/>
      <c r="E13" s="934"/>
      <c r="F13" s="942" t="s">
        <v>875</v>
      </c>
      <c r="G13" s="1553">
        <v>16570000</v>
      </c>
      <c r="H13" s="934"/>
      <c r="I13" s="934"/>
      <c r="J13" s="934"/>
      <c r="K13" s="934"/>
      <c r="L13" s="934"/>
    </row>
    <row r="14" spans="1:12" ht="17" thickBot="1">
      <c r="A14" s="934"/>
      <c r="B14" s="934"/>
      <c r="C14" s="934"/>
      <c r="D14" s="934"/>
      <c r="E14" s="934"/>
      <c r="F14" s="934"/>
      <c r="G14" s="934"/>
      <c r="H14" s="934"/>
      <c r="I14" s="934"/>
      <c r="J14" s="934"/>
      <c r="K14" s="934"/>
      <c r="L14" s="934"/>
    </row>
    <row r="15" spans="1:12" ht="16">
      <c r="A15" s="943" t="s">
        <v>876</v>
      </c>
      <c r="B15" s="944" t="s">
        <v>877</v>
      </c>
      <c r="C15" s="944" t="s">
        <v>878</v>
      </c>
      <c r="D15" s="944" t="s">
        <v>879</v>
      </c>
      <c r="E15" s="944" t="s">
        <v>880</v>
      </c>
      <c r="F15" s="944" t="s">
        <v>881</v>
      </c>
      <c r="G15" s="944" t="s">
        <v>882</v>
      </c>
      <c r="H15" s="944" t="s">
        <v>883</v>
      </c>
      <c r="I15" s="945" t="s">
        <v>884</v>
      </c>
      <c r="J15" s="934"/>
      <c r="K15" s="946" t="s">
        <v>876</v>
      </c>
      <c r="L15" s="947" t="s">
        <v>882</v>
      </c>
    </row>
    <row r="16" spans="1:12" ht="16">
      <c r="A16" s="1265">
        <v>195.5</v>
      </c>
      <c r="B16" s="948">
        <f t="shared" ref="B16:C20" si="0">I5/$G$12</f>
        <v>0.1</v>
      </c>
      <c r="C16" s="948">
        <f t="shared" si="0"/>
        <v>1.5384615384615385E-2</v>
      </c>
      <c r="D16" s="948">
        <f>B16*0.3</f>
        <v>0.03</v>
      </c>
      <c r="E16" s="948">
        <f>C16*0.8</f>
        <v>1.2307692307692309E-2</v>
      </c>
      <c r="F16" s="948">
        <f>SUM(D16:E16)</f>
        <v>4.230769230769231E-2</v>
      </c>
      <c r="G16" s="948">
        <f>SUM(F16:F20)</f>
        <v>8.461538461538462E-2</v>
      </c>
      <c r="H16" s="949">
        <f>G16*$G$13</f>
        <v>1402076.9230769232</v>
      </c>
      <c r="I16" s="950">
        <f>H16*A16</f>
        <v>274106038.46153849</v>
      </c>
      <c r="J16" s="934"/>
      <c r="K16" s="1260">
        <v>195.5</v>
      </c>
      <c r="L16" s="1261">
        <v>8.4599999999999995E-2</v>
      </c>
    </row>
    <row r="17" spans="1:12" ht="16">
      <c r="A17" s="1266">
        <v>259.5</v>
      </c>
      <c r="B17" s="957">
        <f t="shared" si="0"/>
        <v>6.9230769230769235E-2</v>
      </c>
      <c r="C17" s="957">
        <f t="shared" si="0"/>
        <v>0</v>
      </c>
      <c r="D17" s="957">
        <f t="shared" ref="D17:D20" si="1">B17*0.3</f>
        <v>2.0769230769230769E-2</v>
      </c>
      <c r="E17" s="957">
        <f t="shared" ref="E17:E20" si="2">C17*0.8</f>
        <v>0</v>
      </c>
      <c r="F17" s="957">
        <f t="shared" ref="F17:F20" si="3">SUM(D17:E17)</f>
        <v>2.0769230769230769E-2</v>
      </c>
      <c r="G17" s="957">
        <f>SUM(F17:F20)</f>
        <v>4.230769230769231E-2</v>
      </c>
      <c r="H17" s="958">
        <f t="shared" ref="H17:H20" si="4">G17*$G$13</f>
        <v>701038.46153846162</v>
      </c>
      <c r="I17" s="951">
        <f>H17*A17</f>
        <v>181919480.76923078</v>
      </c>
      <c r="J17" s="934"/>
      <c r="K17" s="1260">
        <v>259.5</v>
      </c>
      <c r="L17" s="1261">
        <v>4.2299999999999997E-2</v>
      </c>
    </row>
    <row r="18" spans="1:12" ht="16">
      <c r="A18" s="1266">
        <v>323.5</v>
      </c>
      <c r="B18" s="957">
        <f t="shared" si="0"/>
        <v>3.0769230769230771E-2</v>
      </c>
      <c r="C18" s="957">
        <f t="shared" si="0"/>
        <v>7.6923076923076927E-3</v>
      </c>
      <c r="D18" s="957">
        <f t="shared" si="1"/>
        <v>9.2307692307692316E-3</v>
      </c>
      <c r="E18" s="957">
        <f t="shared" si="2"/>
        <v>6.1538461538461547E-3</v>
      </c>
      <c r="F18" s="957">
        <f t="shared" si="3"/>
        <v>1.5384615384615385E-2</v>
      </c>
      <c r="G18" s="957">
        <f>SUM(F18:F20)</f>
        <v>2.1538461538461541E-2</v>
      </c>
      <c r="H18" s="958">
        <f t="shared" si="4"/>
        <v>356892.30769230775</v>
      </c>
      <c r="I18" s="951">
        <f>H18*A18</f>
        <v>115454661.53846155</v>
      </c>
      <c r="J18" s="934"/>
      <c r="K18" s="1260">
        <v>323.5</v>
      </c>
      <c r="L18" s="1261">
        <v>2.1499999999999998E-2</v>
      </c>
    </row>
    <row r="19" spans="1:12" ht="16">
      <c r="A19" s="1266">
        <v>387.5</v>
      </c>
      <c r="B19" s="957">
        <f t="shared" si="0"/>
        <v>0</v>
      </c>
      <c r="C19" s="957">
        <f t="shared" si="0"/>
        <v>0</v>
      </c>
      <c r="D19" s="957">
        <f t="shared" si="1"/>
        <v>0</v>
      </c>
      <c r="E19" s="957">
        <f t="shared" si="2"/>
        <v>0</v>
      </c>
      <c r="F19" s="957">
        <f t="shared" si="3"/>
        <v>0</v>
      </c>
      <c r="G19" s="957">
        <f>SUM(F19:F20)</f>
        <v>6.1538461538461547E-3</v>
      </c>
      <c r="H19" s="958">
        <f t="shared" si="4"/>
        <v>101969.23076923078</v>
      </c>
      <c r="I19" s="951">
        <f>H19*A19</f>
        <v>39513076.923076928</v>
      </c>
      <c r="J19" s="934"/>
      <c r="K19" s="1260">
        <v>387.5</v>
      </c>
      <c r="L19" s="1261">
        <v>6.1999999999999998E-3</v>
      </c>
    </row>
    <row r="20" spans="1:12" ht="16">
      <c r="A20" s="1267">
        <v>451.5</v>
      </c>
      <c r="B20" s="959">
        <f t="shared" si="0"/>
        <v>0</v>
      </c>
      <c r="C20" s="959">
        <f t="shared" si="0"/>
        <v>7.6923076923076927E-3</v>
      </c>
      <c r="D20" s="959">
        <f t="shared" si="1"/>
        <v>0</v>
      </c>
      <c r="E20" s="959">
        <f t="shared" si="2"/>
        <v>6.1538461538461547E-3</v>
      </c>
      <c r="F20" s="959">
        <f t="shared" si="3"/>
        <v>6.1538461538461547E-3</v>
      </c>
      <c r="G20" s="959">
        <f>F20</f>
        <v>6.1538461538461547E-3</v>
      </c>
      <c r="H20" s="960">
        <f t="shared" si="4"/>
        <v>101969.23076923078</v>
      </c>
      <c r="I20" s="961">
        <f>H20*A20</f>
        <v>46039107.692307696</v>
      </c>
      <c r="J20" s="934"/>
      <c r="K20" s="1262">
        <v>451.5</v>
      </c>
      <c r="L20" s="1263">
        <v>6.1999999999999998E-3</v>
      </c>
    </row>
    <row r="21" spans="1:12" ht="16">
      <c r="A21" s="934"/>
      <c r="B21" s="934"/>
      <c r="C21" s="934"/>
      <c r="D21" s="934"/>
      <c r="E21" s="934"/>
      <c r="F21" s="934"/>
      <c r="G21" s="934"/>
      <c r="H21" s="934"/>
      <c r="I21" s="934"/>
      <c r="J21" s="934"/>
      <c r="K21" s="934"/>
      <c r="L21" s="934"/>
    </row>
    <row r="22" spans="1:12" ht="16">
      <c r="A22" s="934"/>
      <c r="B22" s="934"/>
      <c r="C22" s="934"/>
      <c r="D22" s="934"/>
      <c r="E22" s="934"/>
      <c r="F22" s="934"/>
      <c r="G22" s="934"/>
      <c r="H22" s="934"/>
      <c r="I22" s="934"/>
      <c r="J22" s="934"/>
      <c r="K22" s="934"/>
      <c r="L22" s="934"/>
    </row>
    <row r="23" spans="1:12" ht="17" thickBot="1">
      <c r="A23" s="934"/>
      <c r="B23" s="934"/>
      <c r="C23" s="934"/>
      <c r="D23" s="934"/>
      <c r="E23" s="934"/>
      <c r="F23" s="934"/>
      <c r="G23" s="934"/>
      <c r="H23" s="934"/>
      <c r="I23" s="934"/>
      <c r="J23" s="934"/>
      <c r="K23" s="934"/>
      <c r="L23" s="934"/>
    </row>
    <row r="24" spans="1:12" ht="17" thickBot="1">
      <c r="A24" s="1996" t="s">
        <v>885</v>
      </c>
      <c r="B24" s="1996"/>
      <c r="C24" s="934"/>
      <c r="D24" s="934"/>
      <c r="E24" s="934"/>
      <c r="F24" s="934"/>
      <c r="G24" s="934"/>
      <c r="H24" s="934"/>
      <c r="I24" s="952" t="s">
        <v>886</v>
      </c>
      <c r="J24" s="953" t="s">
        <v>882</v>
      </c>
      <c r="K24" s="954" t="s">
        <v>887</v>
      </c>
      <c r="L24" s="934"/>
    </row>
    <row r="25" spans="1:12" ht="16">
      <c r="A25" s="934"/>
      <c r="B25" s="934"/>
      <c r="C25" s="934"/>
      <c r="D25" s="934"/>
      <c r="E25" s="934"/>
      <c r="F25" s="934"/>
      <c r="G25" s="934"/>
      <c r="H25" s="934"/>
      <c r="I25" s="1264">
        <v>216.16666504069013</v>
      </c>
      <c r="J25" s="955">
        <f>(-0.0003*I25)+0.1297</f>
        <v>6.4850000487792978E-2</v>
      </c>
      <c r="K25" s="956">
        <f>I25*J25*G13</f>
        <v>232285026.0833334</v>
      </c>
      <c r="L25" s="934"/>
    </row>
    <row r="26" spans="1:12" ht="16">
      <c r="A26" s="934"/>
      <c r="B26" s="934"/>
      <c r="C26" s="934"/>
      <c r="D26" s="934"/>
      <c r="E26" s="934"/>
      <c r="F26" s="934"/>
      <c r="G26" s="934"/>
      <c r="H26" s="934"/>
      <c r="I26" s="934"/>
      <c r="J26" s="934"/>
      <c r="K26" s="934"/>
      <c r="L26" s="934"/>
    </row>
    <row r="27" spans="1:12" ht="16">
      <c r="A27" s="934"/>
      <c r="B27" s="934"/>
      <c r="C27" s="934"/>
      <c r="D27" s="934"/>
      <c r="E27" s="934"/>
      <c r="F27" s="934"/>
      <c r="G27" s="934"/>
      <c r="H27" s="934"/>
      <c r="I27" s="934"/>
      <c r="J27" s="934"/>
      <c r="K27" s="934"/>
      <c r="L27" s="934"/>
    </row>
    <row r="28" spans="1:12" ht="16">
      <c r="A28" s="934"/>
      <c r="B28" s="934"/>
      <c r="C28" s="934"/>
      <c r="D28" s="934"/>
      <c r="E28" s="934"/>
      <c r="F28" s="934"/>
      <c r="G28" s="934"/>
      <c r="H28" s="934"/>
      <c r="I28" s="934"/>
      <c r="J28" s="934"/>
      <c r="K28" s="934"/>
      <c r="L28" s="934"/>
    </row>
    <row r="29" spans="1:12" ht="16">
      <c r="A29" s="934"/>
      <c r="B29" s="934"/>
      <c r="C29" s="934"/>
      <c r="D29" s="934"/>
      <c r="E29" s="934"/>
      <c r="F29" s="934"/>
      <c r="G29" s="934"/>
      <c r="H29" s="934"/>
      <c r="I29" s="934"/>
      <c r="J29" s="934"/>
      <c r="K29" s="934"/>
      <c r="L29" s="934"/>
    </row>
    <row r="30" spans="1:12" ht="16">
      <c r="A30" s="934"/>
      <c r="B30" s="934"/>
      <c r="C30" s="934"/>
      <c r="D30" s="934"/>
      <c r="E30" s="934"/>
      <c r="F30" s="934"/>
      <c r="G30" s="934"/>
      <c r="H30" s="934"/>
      <c r="I30" s="934"/>
      <c r="J30" s="934"/>
      <c r="K30" s="934"/>
      <c r="L30" s="934"/>
    </row>
    <row r="31" spans="1:12" ht="16">
      <c r="A31" s="934"/>
      <c r="B31" s="934"/>
      <c r="C31" s="934"/>
      <c r="D31" s="934"/>
      <c r="E31" s="934"/>
      <c r="F31" s="934"/>
      <c r="G31" s="934"/>
      <c r="H31" s="934"/>
      <c r="I31" s="934"/>
      <c r="J31" s="934"/>
      <c r="K31" s="934"/>
      <c r="L31" s="934"/>
    </row>
    <row r="32" spans="1:12" ht="16">
      <c r="A32" s="934"/>
      <c r="B32" s="934"/>
      <c r="C32" s="934"/>
      <c r="D32" s="934"/>
      <c r="E32" s="934"/>
      <c r="F32" s="934"/>
      <c r="G32" s="934"/>
      <c r="H32" s="934"/>
      <c r="I32" s="934"/>
      <c r="J32" s="934"/>
      <c r="K32" s="934"/>
      <c r="L32" s="934"/>
    </row>
    <row r="33" spans="1:12" ht="16">
      <c r="A33" s="934"/>
      <c r="B33" s="934"/>
      <c r="C33" s="934"/>
      <c r="D33" s="934"/>
      <c r="E33" s="934"/>
      <c r="F33" s="934"/>
      <c r="G33" s="934"/>
      <c r="H33" s="934"/>
      <c r="I33" s="934"/>
      <c r="J33" s="934"/>
      <c r="K33" s="934"/>
      <c r="L33" s="934"/>
    </row>
    <row r="34" spans="1:12" ht="16">
      <c r="A34" s="934"/>
      <c r="B34" s="934"/>
      <c r="C34" s="934"/>
      <c r="D34" s="934"/>
      <c r="E34" s="934"/>
      <c r="F34" s="934"/>
      <c r="G34" s="934"/>
      <c r="H34" s="934"/>
      <c r="I34" s="934"/>
      <c r="J34" s="934"/>
      <c r="K34" s="934"/>
      <c r="L34" s="934"/>
    </row>
    <row r="35" spans="1:12" ht="16">
      <c r="A35" s="934"/>
      <c r="B35" s="934"/>
      <c r="C35" s="934"/>
      <c r="D35" s="934"/>
      <c r="E35" s="934"/>
      <c r="F35" s="934"/>
      <c r="G35" s="934"/>
      <c r="H35" s="934"/>
      <c r="I35" s="934"/>
      <c r="J35" s="934"/>
      <c r="K35" s="934"/>
      <c r="L35" s="934"/>
    </row>
    <row r="36" spans="1:12" ht="16">
      <c r="A36" s="934"/>
      <c r="B36" s="934"/>
      <c r="C36" s="934"/>
      <c r="D36" s="934"/>
      <c r="E36" s="934"/>
      <c r="F36" s="934"/>
      <c r="G36" s="934"/>
      <c r="H36" s="934"/>
      <c r="I36" s="934"/>
      <c r="J36" s="934"/>
      <c r="K36" s="934"/>
      <c r="L36" s="934"/>
    </row>
    <row r="37" spans="1:12" ht="16">
      <c r="A37" s="934"/>
      <c r="B37" s="934"/>
      <c r="C37" s="934"/>
      <c r="D37" s="934"/>
      <c r="E37" s="934"/>
      <c r="F37" s="934"/>
      <c r="G37" s="934"/>
      <c r="H37" s="934"/>
      <c r="I37" s="934"/>
      <c r="J37" s="934"/>
      <c r="K37" s="934"/>
      <c r="L37" s="934"/>
    </row>
    <row r="38" spans="1:12" ht="16">
      <c r="A38" s="934"/>
      <c r="B38" s="934"/>
      <c r="C38" s="934"/>
      <c r="D38" s="934"/>
      <c r="E38" s="934"/>
      <c r="F38" s="934"/>
      <c r="G38" s="934"/>
      <c r="H38" s="934"/>
      <c r="I38" s="934"/>
      <c r="J38" s="934"/>
      <c r="K38" s="934"/>
      <c r="L38" s="934"/>
    </row>
    <row r="39" spans="1:12" ht="16">
      <c r="A39" s="934"/>
      <c r="B39" s="934"/>
      <c r="C39" s="934"/>
      <c r="D39" s="934"/>
      <c r="E39" s="934"/>
      <c r="F39" s="934"/>
      <c r="G39" s="934"/>
      <c r="H39" s="934"/>
      <c r="I39" s="934"/>
      <c r="J39" s="934"/>
      <c r="K39" s="934"/>
      <c r="L39" s="934"/>
    </row>
    <row r="40" spans="1:12" ht="16">
      <c r="A40" s="934"/>
      <c r="B40" s="934"/>
      <c r="C40" s="934"/>
      <c r="D40" s="934"/>
      <c r="E40" s="934"/>
      <c r="F40" s="934"/>
      <c r="G40" s="934"/>
      <c r="H40" s="934"/>
      <c r="I40" s="934"/>
      <c r="J40" s="934"/>
      <c r="K40" s="934"/>
      <c r="L40" s="934"/>
    </row>
    <row r="41" spans="1:12" ht="16">
      <c r="A41" s="934"/>
      <c r="B41" s="934"/>
      <c r="C41" s="934"/>
      <c r="D41" s="934"/>
      <c r="E41" s="934"/>
      <c r="F41" s="934"/>
      <c r="G41" s="934"/>
      <c r="H41" s="934"/>
      <c r="I41" s="934"/>
      <c r="J41" s="934"/>
      <c r="K41" s="934"/>
      <c r="L41" s="934"/>
    </row>
    <row r="42" spans="1:12" ht="16">
      <c r="A42" s="934"/>
      <c r="B42" s="934"/>
      <c r="C42" s="934"/>
      <c r="D42" s="934"/>
      <c r="E42" s="934"/>
      <c r="F42" s="934"/>
      <c r="G42" s="934"/>
      <c r="H42" s="934"/>
      <c r="I42" s="934"/>
      <c r="J42" s="934"/>
      <c r="K42" s="934"/>
      <c r="L42" s="934"/>
    </row>
    <row r="43" spans="1:12" ht="16">
      <c r="A43" s="1997"/>
      <c r="B43" s="1997"/>
      <c r="C43" s="934"/>
      <c r="D43" s="934"/>
      <c r="E43" s="934"/>
      <c r="F43" s="934"/>
      <c r="G43" s="934"/>
      <c r="H43" s="934"/>
      <c r="I43" s="934"/>
      <c r="J43" s="934"/>
      <c r="K43" s="934"/>
      <c r="L43" s="934"/>
    </row>
    <row r="48" spans="1:12">
      <c r="A48" s="895"/>
      <c r="B48" s="895"/>
      <c r="C48" s="895"/>
      <c r="D48" s="895"/>
      <c r="E48" s="895"/>
      <c r="F48" s="895"/>
      <c r="G48" s="895"/>
      <c r="H48" s="895"/>
      <c r="I48" s="895"/>
      <c r="J48" s="895"/>
      <c r="K48" s="895"/>
    </row>
    <row r="49" spans="1:11">
      <c r="A49" s="895"/>
      <c r="B49" s="895"/>
      <c r="C49" s="895"/>
      <c r="D49" s="895"/>
      <c r="E49" s="895"/>
      <c r="F49" s="895"/>
      <c r="G49" s="895"/>
      <c r="H49" s="895"/>
      <c r="I49" s="895"/>
      <c r="J49" s="895"/>
      <c r="K49" s="895"/>
    </row>
    <row r="50" spans="1:11">
      <c r="A50" s="895"/>
      <c r="B50" s="895"/>
      <c r="C50" s="895"/>
      <c r="D50" s="895"/>
      <c r="E50" s="895"/>
      <c r="F50" s="895"/>
      <c r="G50" s="895"/>
      <c r="H50" s="895"/>
      <c r="I50" s="895"/>
      <c r="J50" s="895"/>
      <c r="K50" s="895"/>
    </row>
    <row r="51" spans="1:11">
      <c r="A51" s="895"/>
      <c r="B51" s="895"/>
      <c r="C51" s="895"/>
      <c r="D51" s="895"/>
      <c r="E51" s="895"/>
      <c r="F51" s="895"/>
      <c r="G51" s="895"/>
      <c r="H51" s="895"/>
      <c r="I51" s="896"/>
      <c r="J51" s="895"/>
      <c r="K51" s="895"/>
    </row>
    <row r="52" spans="1:11">
      <c r="A52" s="895"/>
      <c r="B52" s="895"/>
      <c r="C52" s="895"/>
      <c r="D52" s="895"/>
      <c r="E52" s="895"/>
      <c r="F52" s="895"/>
      <c r="G52" s="895"/>
      <c r="H52" s="895"/>
      <c r="I52" s="895"/>
      <c r="J52" s="896"/>
      <c r="K52" s="895"/>
    </row>
    <row r="53" spans="1:11">
      <c r="A53" s="895"/>
      <c r="B53" s="895"/>
      <c r="C53" s="895"/>
      <c r="D53" s="895"/>
      <c r="E53" s="895"/>
      <c r="F53" s="895"/>
      <c r="G53" s="895"/>
      <c r="H53" s="895"/>
      <c r="I53" s="895"/>
      <c r="J53" s="895"/>
      <c r="K53" s="895"/>
    </row>
    <row r="54" spans="1:11">
      <c r="A54" s="895"/>
      <c r="B54" s="895"/>
      <c r="C54" s="895"/>
      <c r="D54" s="895"/>
      <c r="E54" s="895"/>
      <c r="F54" s="895"/>
      <c r="G54" s="895"/>
      <c r="H54" s="895"/>
      <c r="I54" s="895"/>
      <c r="J54" s="895"/>
      <c r="K54" s="895"/>
    </row>
    <row r="55" spans="1:11">
      <c r="A55" s="895"/>
      <c r="B55" s="895"/>
      <c r="C55" s="895"/>
      <c r="D55" s="895"/>
      <c r="E55" s="895"/>
      <c r="F55" s="895"/>
      <c r="G55" s="895"/>
      <c r="H55" s="895"/>
      <c r="I55" s="895"/>
      <c r="J55" s="895"/>
      <c r="K55" s="895"/>
    </row>
    <row r="56" spans="1:11">
      <c r="A56" s="897"/>
      <c r="B56" s="897"/>
      <c r="C56" s="897"/>
      <c r="D56" s="897"/>
      <c r="E56" s="897"/>
      <c r="F56" s="897"/>
      <c r="G56" s="897"/>
      <c r="H56" s="895"/>
      <c r="I56" s="895"/>
      <c r="J56" s="895"/>
      <c r="K56" s="895"/>
    </row>
    <row r="57" spans="1:11">
      <c r="A57" s="898"/>
      <c r="B57" s="899"/>
      <c r="C57" s="899"/>
      <c r="D57" s="899"/>
      <c r="E57" s="899"/>
      <c r="F57" s="899"/>
      <c r="G57" s="899"/>
      <c r="H57" s="895"/>
      <c r="I57" s="895"/>
      <c r="J57" s="895"/>
      <c r="K57" s="895"/>
    </row>
    <row r="58" spans="1:11">
      <c r="A58" s="898"/>
      <c r="B58" s="899"/>
      <c r="C58" s="899"/>
      <c r="D58" s="899"/>
      <c r="E58" s="899"/>
      <c r="F58" s="899"/>
      <c r="G58" s="899"/>
      <c r="H58" s="895"/>
      <c r="I58" s="895"/>
      <c r="J58" s="895"/>
      <c r="K58" s="895"/>
    </row>
    <row r="59" spans="1:11">
      <c r="A59" s="898"/>
      <c r="B59" s="899"/>
      <c r="C59" s="899"/>
      <c r="D59" s="899"/>
      <c r="E59" s="899"/>
      <c r="F59" s="899"/>
      <c r="G59" s="899"/>
      <c r="H59" s="895"/>
      <c r="I59" s="895"/>
      <c r="J59" s="895"/>
      <c r="K59" s="895"/>
    </row>
    <row r="60" spans="1:11">
      <c r="A60" s="898"/>
      <c r="B60" s="899"/>
      <c r="C60" s="899"/>
      <c r="D60" s="899"/>
      <c r="E60" s="899"/>
      <c r="F60" s="899"/>
      <c r="G60" s="899"/>
      <c r="H60" s="895"/>
      <c r="I60" s="895"/>
      <c r="J60" s="895"/>
      <c r="K60" s="895"/>
    </row>
    <row r="61" spans="1:11">
      <c r="A61" s="898"/>
      <c r="B61" s="899"/>
      <c r="C61" s="899"/>
      <c r="D61" s="899"/>
      <c r="E61" s="899"/>
      <c r="F61" s="899"/>
      <c r="G61" s="899"/>
      <c r="H61" s="895"/>
      <c r="I61" s="895"/>
      <c r="J61" s="895"/>
      <c r="K61" s="895"/>
    </row>
    <row r="62" spans="1:11">
      <c r="A62" s="898"/>
      <c r="B62" s="899"/>
      <c r="C62" s="899"/>
      <c r="D62" s="899"/>
      <c r="E62" s="899"/>
      <c r="F62" s="899"/>
      <c r="G62" s="899"/>
      <c r="H62" s="895"/>
      <c r="I62" s="895"/>
      <c r="J62" s="895"/>
      <c r="K62" s="895"/>
    </row>
    <row r="63" spans="1:11">
      <c r="A63" s="898"/>
      <c r="B63" s="899"/>
      <c r="C63" s="899"/>
      <c r="D63" s="899"/>
      <c r="E63" s="899"/>
      <c r="F63" s="899"/>
      <c r="G63" s="899"/>
      <c r="H63" s="895"/>
      <c r="I63" s="897"/>
      <c r="J63" s="895"/>
      <c r="K63" s="895"/>
    </row>
    <row r="64" spans="1:11">
      <c r="A64" s="898"/>
      <c r="B64" s="899"/>
      <c r="C64" s="899"/>
      <c r="D64" s="899"/>
      <c r="E64" s="899"/>
      <c r="F64" s="899"/>
      <c r="G64" s="899"/>
      <c r="H64" s="895"/>
      <c r="I64" s="900"/>
      <c r="J64" s="895"/>
      <c r="K64" s="895"/>
    </row>
    <row r="65" spans="1:14">
      <c r="A65" s="895"/>
      <c r="B65" s="895"/>
      <c r="C65" s="895"/>
      <c r="D65" s="895"/>
      <c r="E65" s="895"/>
      <c r="F65" s="895"/>
      <c r="G65" s="895"/>
      <c r="H65" s="897"/>
      <c r="I65" s="900"/>
      <c r="J65" s="895"/>
      <c r="K65" s="895"/>
    </row>
    <row r="66" spans="1:14">
      <c r="A66" s="895"/>
      <c r="B66" s="895"/>
      <c r="C66" s="895"/>
      <c r="D66" s="895"/>
      <c r="E66" s="895"/>
      <c r="F66" s="895"/>
      <c r="G66" s="895"/>
      <c r="H66" s="901"/>
      <c r="I66" s="900"/>
      <c r="J66" s="895"/>
      <c r="K66" s="895"/>
    </row>
    <row r="67" spans="1:14">
      <c r="A67" s="895"/>
      <c r="B67" s="895"/>
      <c r="C67" s="895"/>
      <c r="D67" s="895"/>
      <c r="E67" s="895"/>
      <c r="F67" s="895"/>
      <c r="G67" s="895"/>
      <c r="H67" s="901"/>
      <c r="I67" s="900"/>
      <c r="J67" s="895"/>
      <c r="K67" s="895"/>
    </row>
    <row r="68" spans="1:14">
      <c r="A68" s="895"/>
      <c r="B68" s="895"/>
      <c r="C68" s="895"/>
      <c r="D68" s="895"/>
      <c r="E68" s="895"/>
      <c r="F68" s="895"/>
      <c r="G68" s="895"/>
      <c r="H68" s="901"/>
      <c r="I68" s="900"/>
      <c r="J68" s="895"/>
      <c r="K68" s="895"/>
    </row>
    <row r="69" spans="1:14">
      <c r="A69" s="895"/>
      <c r="B69" s="895"/>
      <c r="C69" s="895"/>
      <c r="D69" s="895"/>
      <c r="E69" s="895"/>
      <c r="F69" s="895"/>
      <c r="G69" s="895"/>
      <c r="H69" s="901"/>
      <c r="I69" s="900"/>
      <c r="J69" s="895"/>
      <c r="K69" s="895"/>
    </row>
    <row r="70" spans="1:14">
      <c r="A70" s="895"/>
      <c r="B70" s="895"/>
      <c r="C70" s="895"/>
      <c r="D70" s="895"/>
      <c r="E70" s="895"/>
      <c r="F70" s="895"/>
      <c r="G70" s="895"/>
      <c r="H70" s="901"/>
      <c r="I70" s="900"/>
      <c r="J70" s="895"/>
      <c r="K70" s="895"/>
    </row>
    <row r="71" spans="1:14">
      <c r="A71" s="895"/>
      <c r="B71" s="895"/>
      <c r="C71" s="895"/>
      <c r="D71" s="895"/>
      <c r="E71" s="895"/>
      <c r="F71" s="895"/>
      <c r="G71" s="895"/>
      <c r="H71" s="901"/>
      <c r="I71" s="900"/>
      <c r="J71" s="895"/>
      <c r="K71" s="895"/>
    </row>
    <row r="72" spans="1:14">
      <c r="A72" s="895"/>
      <c r="B72" s="895"/>
      <c r="C72" s="895"/>
      <c r="D72" s="895"/>
      <c r="E72" s="895"/>
      <c r="F72" s="895"/>
      <c r="G72" s="895"/>
      <c r="H72" s="901"/>
      <c r="I72" s="895"/>
      <c r="J72" s="895"/>
      <c r="K72" s="895"/>
      <c r="M72" s="893"/>
      <c r="N72" s="894"/>
    </row>
    <row r="73" spans="1:14">
      <c r="A73" s="895"/>
      <c r="B73" s="895"/>
      <c r="C73" s="895"/>
      <c r="D73" s="895"/>
      <c r="E73" s="895"/>
      <c r="F73" s="895"/>
      <c r="G73" s="895"/>
      <c r="H73" s="901"/>
      <c r="I73" s="895"/>
      <c r="J73" s="895"/>
      <c r="K73" s="895"/>
    </row>
    <row r="74" spans="1:14">
      <c r="A74" s="895"/>
      <c r="B74" s="895"/>
      <c r="C74" s="895"/>
      <c r="D74" s="895"/>
      <c r="E74" s="895"/>
      <c r="F74" s="895"/>
      <c r="G74" s="895"/>
      <c r="H74" s="895"/>
      <c r="I74" s="897"/>
      <c r="J74" s="895"/>
      <c r="K74" s="895"/>
    </row>
    <row r="75" spans="1:14">
      <c r="A75" s="895"/>
      <c r="B75" s="895"/>
      <c r="C75" s="895"/>
      <c r="D75" s="895"/>
      <c r="E75" s="895"/>
      <c r="F75" s="895"/>
      <c r="G75" s="895"/>
      <c r="H75" s="895"/>
      <c r="I75" s="898"/>
      <c r="J75" s="897"/>
      <c r="K75" s="897"/>
    </row>
    <row r="76" spans="1:14">
      <c r="A76" s="895"/>
      <c r="B76" s="895"/>
      <c r="C76" s="895"/>
      <c r="D76" s="895"/>
      <c r="E76" s="895"/>
      <c r="F76" s="895"/>
      <c r="G76" s="895"/>
      <c r="H76" s="895"/>
      <c r="I76" s="895"/>
      <c r="J76" s="899"/>
      <c r="K76" s="900"/>
    </row>
  </sheetData>
  <mergeCells count="4">
    <mergeCell ref="A2:B2"/>
    <mergeCell ref="I3:J3"/>
    <mergeCell ref="A24:B24"/>
    <mergeCell ref="A43:B43"/>
  </mergeCells>
  <hyperlinks>
    <hyperlink ref="A1" location="Index!A1" display="Index" xr:uid="{8E23BF32-995F-AE45-BF73-B6E2B823FFCD}"/>
  </hyperlinks>
  <pageMargins left="0.75" right="0.75" top="1" bottom="1" header="0.5" footer="0.5"/>
  <pageSetup orientation="portrait" horizontalDpi="4294967293" verticalDpi="4294967293"/>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outlinePr summaryBelow="0" summaryRight="0"/>
  </sheetPr>
  <dimension ref="A1:P1005"/>
  <sheetViews>
    <sheetView workbookViewId="0">
      <selection activeCell="A22" sqref="A22:B27"/>
    </sheetView>
  </sheetViews>
  <sheetFormatPr baseColWidth="10" defaultColWidth="14.33203125" defaultRowHeight="15.75" customHeight="1"/>
  <cols>
    <col min="1" max="1" width="51.33203125" customWidth="1"/>
    <col min="2" max="5" width="17.33203125" customWidth="1"/>
    <col min="6" max="6" width="18.5" customWidth="1"/>
    <col min="7" max="7" width="13.1640625" style="829" customWidth="1"/>
    <col min="8" max="11" width="13.1640625" customWidth="1"/>
    <col min="12" max="12" width="12.6640625" customWidth="1"/>
    <col min="13" max="13" width="13.5" customWidth="1"/>
  </cols>
  <sheetData>
    <row r="1" spans="1:16" ht="26">
      <c r="A1" s="116" t="s">
        <v>0</v>
      </c>
      <c r="B1" s="312" t="s">
        <v>973</v>
      </c>
      <c r="C1" s="1548"/>
      <c r="D1" s="1548"/>
      <c r="E1" s="1548"/>
      <c r="F1" s="1548"/>
      <c r="G1" s="1548"/>
      <c r="H1" s="1548"/>
    </row>
    <row r="2" spans="1:16" ht="15.75" customHeight="1">
      <c r="G2" s="674"/>
      <c r="H2" s="77"/>
      <c r="I2" s="77"/>
      <c r="J2" s="69"/>
      <c r="K2" s="7"/>
    </row>
    <row r="3" spans="1:16" ht="18" customHeight="1">
      <c r="A3" s="151" t="s">
        <v>182</v>
      </c>
      <c r="B3" s="152">
        <v>1</v>
      </c>
      <c r="C3" s="152">
        <v>2</v>
      </c>
      <c r="D3" s="152">
        <v>3</v>
      </c>
      <c r="E3" s="152">
        <v>4</v>
      </c>
      <c r="F3" s="153">
        <v>5</v>
      </c>
      <c r="G3" s="84" t="s">
        <v>1090</v>
      </c>
      <c r="H3" s="58"/>
      <c r="I3" s="58"/>
      <c r="J3" s="58"/>
      <c r="K3" s="58"/>
    </row>
    <row r="4" spans="1:16" ht="18" customHeight="1">
      <c r="A4" s="154" t="s">
        <v>183</v>
      </c>
      <c r="B4" s="155">
        <f>('MK Segmentation'!A4)*G4</f>
        <v>16570000</v>
      </c>
      <c r="C4" s="155">
        <f>(B4*1.015-B14)</f>
        <v>16805761.137062337</v>
      </c>
      <c r="D4" s="155">
        <f>(C4*1.015-C14)</f>
        <v>17039556.794290259</v>
      </c>
      <c r="E4" s="155">
        <f t="shared" ref="E4:F4" si="0">(D4*1.015-D14)</f>
        <v>17240042.456741028</v>
      </c>
      <c r="F4" s="156">
        <f t="shared" si="0"/>
        <v>17419368.813251462</v>
      </c>
      <c r="G4" s="229">
        <f>'QM Simulation 1'!B8</f>
        <v>1</v>
      </c>
      <c r="H4" s="61"/>
      <c r="I4" s="61"/>
      <c r="J4" s="61"/>
      <c r="K4" s="61"/>
      <c r="L4" s="157"/>
    </row>
    <row r="5" spans="1:16" ht="18" customHeight="1">
      <c r="A5" s="154" t="s">
        <v>184</v>
      </c>
      <c r="B5" s="1268">
        <f t="shared" ref="B5:F5" si="1">3%</f>
        <v>0.03</v>
      </c>
      <c r="C5" s="1268">
        <f>3%</f>
        <v>0.03</v>
      </c>
      <c r="D5" s="1268">
        <f t="shared" si="1"/>
        <v>0.03</v>
      </c>
      <c r="E5" s="1268">
        <f t="shared" si="1"/>
        <v>0.03</v>
      </c>
      <c r="F5" s="1269">
        <f t="shared" si="1"/>
        <v>0.03</v>
      </c>
      <c r="G5" s="229"/>
      <c r="H5" s="61"/>
      <c r="I5" s="61"/>
      <c r="J5" s="61"/>
      <c r="K5" s="61"/>
      <c r="L5" s="159"/>
    </row>
    <row r="6" spans="1:16" ht="18" customHeight="1">
      <c r="A6" s="160" t="s">
        <v>185</v>
      </c>
      <c r="B6" s="161">
        <f>((-0.0003*'MK Price to Channel'!F7)+0.1297+B5)*G6</f>
        <v>7.2752799999999992E-2</v>
      </c>
      <c r="C6" s="161">
        <f>((-0.0003*'MK Price to Channel'!F14)+0.1297+C5)*G6</f>
        <v>6.9080800000000012E-2</v>
      </c>
      <c r="D6" s="161">
        <f>((-0.0003*'MK Price to Channel'!F22)+0.1297+D5)*G6</f>
        <v>6.9496959999999997E-2</v>
      </c>
      <c r="E6" s="161">
        <f>((-0.0003*'MK Price to Channel'!F31)+0.1297+E5)*G6</f>
        <v>7.5247870000000008E-2</v>
      </c>
      <c r="F6" s="158">
        <f>((-0.0003*'MK Price to Channel'!F40)+0.1297+F5)*G6</f>
        <v>7.8939400000000021E-2</v>
      </c>
      <c r="G6" s="229">
        <v>1</v>
      </c>
      <c r="H6" s="61"/>
      <c r="I6" s="61"/>
      <c r="J6" s="61"/>
      <c r="K6" s="61"/>
      <c r="L6" s="61"/>
      <c r="M6" s="61"/>
    </row>
    <row r="7" spans="1:16" ht="18" customHeight="1">
      <c r="A7" s="160" t="s">
        <v>6</v>
      </c>
      <c r="B7" s="162">
        <f>('MK IMC Y1-Y5 Summary'!B18)*$G$7</f>
        <v>7.5775999999999996E-2</v>
      </c>
      <c r="C7" s="165">
        <f>('MK IMC Y1-Y5 Summary'!C18)*$G$7</f>
        <v>9.2675999999999994E-2</v>
      </c>
      <c r="D7" s="165">
        <f>('MK IMC Y1-Y5 Summary'!D18)*$G$7</f>
        <v>0.21152680980957431</v>
      </c>
      <c r="E7" s="165">
        <f>('MK IMC Y1-Y5 Summary'!E18)*$G$7</f>
        <v>0.22632680980957431</v>
      </c>
      <c r="F7" s="1698">
        <f>('MK IMC Y1-Y5 Summary'!F18)*$G$7</f>
        <v>0.2420180810333547</v>
      </c>
      <c r="G7" s="1701">
        <v>1</v>
      </c>
      <c r="H7" s="61"/>
      <c r="I7" s="61"/>
      <c r="J7" s="61"/>
      <c r="K7" s="61"/>
      <c r="L7" s="61"/>
      <c r="M7" s="61"/>
      <c r="N7" s="163"/>
      <c r="O7" s="163"/>
      <c r="P7" s="163"/>
    </row>
    <row r="8" spans="1:16" ht="18" customHeight="1">
      <c r="A8" s="160" t="s">
        <v>5</v>
      </c>
      <c r="B8" s="1278">
        <f>(0.14)*G8</f>
        <v>0.14000000000000001</v>
      </c>
      <c r="C8" s="1278">
        <f>(17%)*G8</f>
        <v>0.17</v>
      </c>
      <c r="D8" s="1278">
        <f>(22%)*G8</f>
        <v>0.22</v>
      </c>
      <c r="E8" s="1278">
        <f>(27%)*G8</f>
        <v>0.27</v>
      </c>
      <c r="F8" s="1269">
        <f>(33%)*G8</f>
        <v>0.33</v>
      </c>
      <c r="G8" s="229">
        <v>1</v>
      </c>
      <c r="H8" s="61"/>
      <c r="I8" s="61"/>
      <c r="J8" s="61"/>
      <c r="K8" s="61"/>
      <c r="L8" s="16"/>
      <c r="M8" s="163"/>
      <c r="N8" s="163"/>
      <c r="O8" s="163"/>
      <c r="P8" s="163"/>
    </row>
    <row r="9" spans="1:16" ht="18" customHeight="1">
      <c r="A9" s="164" t="s">
        <v>186</v>
      </c>
      <c r="B9" s="165">
        <f t="shared" ref="B9:F9" si="2">B6*B7*B8</f>
        <v>7.718082641919999E-4</v>
      </c>
      <c r="C9" s="165">
        <f t="shared" si="2"/>
        <v>1.0883624775360002E-3</v>
      </c>
      <c r="D9" s="165">
        <f t="shared" si="2"/>
        <v>3.2341034528579901E-3</v>
      </c>
      <c r="E9" s="165">
        <f t="shared" si="2"/>
        <v>4.5982647977577049E-3</v>
      </c>
      <c r="F9" s="166">
        <f t="shared" si="2"/>
        <v>6.3045714949550545E-3</v>
      </c>
      <c r="G9" s="84"/>
    </row>
    <row r="10" spans="1:16" ht="18" customHeight="1">
      <c r="A10" s="160" t="s">
        <v>187</v>
      </c>
      <c r="B10" s="167">
        <f t="shared" ref="B10:F10" si="3">B4*B9</f>
        <v>12788.862937661439</v>
      </c>
      <c r="C10" s="167">
        <f t="shared" si="3"/>
        <v>18290.759828011393</v>
      </c>
      <c r="D10" s="167">
        <f t="shared" si="3"/>
        <v>55107.689463583956</v>
      </c>
      <c r="E10" s="167">
        <f t="shared" si="3"/>
        <v>79274.280340680532</v>
      </c>
      <c r="F10" s="168">
        <f t="shared" si="3"/>
        <v>109821.65608013423</v>
      </c>
      <c r="G10" s="84"/>
      <c r="H10" s="14"/>
      <c r="I10" s="169"/>
      <c r="J10" s="169"/>
      <c r="K10" s="157"/>
      <c r="L10" s="157"/>
    </row>
    <row r="11" spans="1:16" ht="18" customHeight="1">
      <c r="A11" s="160" t="s">
        <v>188</v>
      </c>
      <c r="B11" s="1270">
        <v>1</v>
      </c>
      <c r="C11" s="1270">
        <v>1</v>
      </c>
      <c r="D11" s="1270">
        <v>1</v>
      </c>
      <c r="E11" s="1270">
        <v>1</v>
      </c>
      <c r="F11" s="1271">
        <v>1</v>
      </c>
      <c r="G11" s="1519"/>
      <c r="H11" s="14"/>
      <c r="I11" s="14"/>
      <c r="K11" s="1"/>
      <c r="L11" s="170"/>
      <c r="M11" s="171"/>
      <c r="N11" s="171"/>
      <c r="O11" s="171"/>
      <c r="P11" s="171"/>
    </row>
    <row r="12" spans="1:16" ht="18" customHeight="1">
      <c r="A12" s="160" t="s">
        <v>189</v>
      </c>
      <c r="B12" s="167">
        <f t="shared" ref="B12:F12" si="4">B10*B11</f>
        <v>12788.862937661439</v>
      </c>
      <c r="C12" s="167">
        <f t="shared" si="4"/>
        <v>18290.759828011393</v>
      </c>
      <c r="D12" s="167">
        <f t="shared" si="4"/>
        <v>55107.689463583956</v>
      </c>
      <c r="E12" s="167">
        <f t="shared" si="4"/>
        <v>79274.280340680532</v>
      </c>
      <c r="F12" s="168">
        <f t="shared" si="4"/>
        <v>109821.65608013423</v>
      </c>
      <c r="G12" s="1519"/>
      <c r="H12" s="14"/>
      <c r="I12" s="169"/>
      <c r="J12" s="157"/>
      <c r="K12" s="172"/>
      <c r="L12" s="172"/>
      <c r="M12" s="77"/>
    </row>
    <row r="13" spans="1:16" ht="18" customHeight="1">
      <c r="A13" s="160" t="s">
        <v>190</v>
      </c>
      <c r="B13" s="167" t="s">
        <v>191</v>
      </c>
      <c r="C13" s="167" t="s">
        <v>191</v>
      </c>
      <c r="D13" s="167" t="s">
        <v>191</v>
      </c>
      <c r="E13" s="167" t="s">
        <v>191</v>
      </c>
      <c r="F13" s="168" t="s">
        <v>191</v>
      </c>
      <c r="G13" s="1519"/>
      <c r="H13" s="14"/>
      <c r="I13" s="14"/>
      <c r="K13" s="173"/>
      <c r="L13" s="173"/>
      <c r="M13" s="77"/>
    </row>
    <row r="14" spans="1:16" ht="18" customHeight="1">
      <c r="A14" s="160" t="s">
        <v>192</v>
      </c>
      <c r="B14" s="167">
        <f t="shared" ref="B14:F14" si="5">B12</f>
        <v>12788.862937661439</v>
      </c>
      <c r="C14" s="167">
        <f t="shared" si="5"/>
        <v>18290.759828011393</v>
      </c>
      <c r="D14" s="167">
        <f t="shared" si="5"/>
        <v>55107.689463583956</v>
      </c>
      <c r="E14" s="167">
        <f t="shared" si="5"/>
        <v>79274.280340680532</v>
      </c>
      <c r="F14" s="168">
        <f t="shared" si="5"/>
        <v>109821.65608013423</v>
      </c>
      <c r="G14" s="1519"/>
      <c r="H14" s="14"/>
      <c r="I14" s="169"/>
      <c r="J14" s="157"/>
      <c r="K14" s="172"/>
      <c r="L14" s="172"/>
      <c r="M14" s="77"/>
    </row>
    <row r="15" spans="1:16" ht="18" customHeight="1">
      <c r="A15" s="160" t="s">
        <v>193</v>
      </c>
      <c r="B15" s="174">
        <f t="shared" ref="B15:C15" si="6">(0%)</f>
        <v>0</v>
      </c>
      <c r="C15" s="174">
        <f t="shared" si="6"/>
        <v>0</v>
      </c>
      <c r="D15" s="175">
        <f>20%</f>
        <v>0.2</v>
      </c>
      <c r="E15" s="175">
        <f>30%</f>
        <v>0.3</v>
      </c>
      <c r="F15" s="176">
        <f>35%</f>
        <v>0.35</v>
      </c>
      <c r="G15" s="229"/>
      <c r="H15" s="61"/>
      <c r="I15" s="61"/>
      <c r="J15" s="61"/>
      <c r="K15" s="61"/>
      <c r="L15" s="177"/>
      <c r="M15" s="77"/>
    </row>
    <row r="16" spans="1:16" ht="18" customHeight="1">
      <c r="A16" s="178" t="s">
        <v>194</v>
      </c>
      <c r="B16" s="179">
        <f>(B14*(1-B15))*$G$16</f>
        <v>12788.862937661439</v>
      </c>
      <c r="C16" s="180">
        <f t="shared" ref="C16:F16" si="7">(C14*(1-C15))*$G$16</f>
        <v>18290.759828011393</v>
      </c>
      <c r="D16" s="180">
        <f t="shared" si="7"/>
        <v>44086.151570867165</v>
      </c>
      <c r="E16" s="180">
        <f t="shared" si="7"/>
        <v>55491.996238476371</v>
      </c>
      <c r="F16" s="1700">
        <f t="shared" si="7"/>
        <v>71384.076452087247</v>
      </c>
      <c r="G16" s="1699">
        <v>1</v>
      </c>
      <c r="H16" s="14"/>
      <c r="I16" s="181"/>
      <c r="J16" s="182"/>
      <c r="K16" s="183"/>
      <c r="L16" s="183"/>
      <c r="M16" s="77"/>
    </row>
    <row r="17" spans="1:13" ht="18" customHeight="1">
      <c r="A17" s="160" t="s">
        <v>195</v>
      </c>
      <c r="B17" s="184">
        <f>'MK Price to Channel'!D6</f>
        <v>168.8544</v>
      </c>
      <c r="C17" s="184">
        <f>'MK Price to Channel'!D13</f>
        <v>170.79840000000002</v>
      </c>
      <c r="D17" s="184">
        <f>'MK Price to Channel'!D21</f>
        <v>168.04464000000002</v>
      </c>
      <c r="E17" s="184">
        <f>'MK Price to Channel'!D30</f>
        <v>159.66906</v>
      </c>
      <c r="F17" s="185">
        <f>'MK Price to Channel'!D39</f>
        <v>154.1388</v>
      </c>
      <c r="G17" s="440"/>
      <c r="H17" s="14"/>
      <c r="I17" s="187"/>
      <c r="J17" s="188"/>
      <c r="K17" s="189"/>
      <c r="L17" s="177"/>
      <c r="M17" s="77"/>
    </row>
    <row r="18" spans="1:13" ht="18" customHeight="1">
      <c r="A18" s="190" t="s">
        <v>196</v>
      </c>
      <c r="B18" s="1517">
        <f t="shared" ref="B18:F18" si="8">B16*B17</f>
        <v>2159455.7780210595</v>
      </c>
      <c r="C18" s="1517">
        <f t="shared" si="8"/>
        <v>3124032.5134086213</v>
      </c>
      <c r="D18" s="1517">
        <f t="shared" si="8"/>
        <v>7408441.4697118076</v>
      </c>
      <c r="E18" s="1517">
        <f t="shared" si="8"/>
        <v>8860354.8769210577</v>
      </c>
      <c r="F18" s="1518">
        <f t="shared" si="8"/>
        <v>11003055.883432986</v>
      </c>
      <c r="G18" s="440"/>
      <c r="H18" s="14"/>
      <c r="I18" s="181"/>
      <c r="J18" s="182"/>
      <c r="K18" s="183"/>
      <c r="L18" s="183"/>
      <c r="M18" s="77"/>
    </row>
    <row r="19" spans="1:13" ht="18" customHeight="1">
      <c r="A19" s="160" t="s">
        <v>197</v>
      </c>
      <c r="B19" s="191">
        <f>'MK Price to Channel'!F7</f>
        <v>289.82400000000007</v>
      </c>
      <c r="C19" s="191">
        <f>'MK Price to Channel'!F14</f>
        <v>302.06400000000002</v>
      </c>
      <c r="D19" s="191">
        <f>'MK Price to Channel'!F22</f>
        <v>300.67680000000007</v>
      </c>
      <c r="E19" s="191">
        <f>'MK Price to Channel'!F31</f>
        <v>281.50710000000004</v>
      </c>
      <c r="F19" s="192">
        <f>'MK Price to Channel'!F40</f>
        <v>269.202</v>
      </c>
      <c r="G19" s="440"/>
      <c r="H19" s="3"/>
      <c r="I19" s="3"/>
      <c r="K19" s="77"/>
      <c r="L19" s="77"/>
      <c r="M19" s="77"/>
    </row>
    <row r="20" spans="1:13" ht="18" customHeight="1">
      <c r="A20" s="193" t="s">
        <v>198</v>
      </c>
      <c r="B20" s="194">
        <f t="shared" ref="B20:F20" si="9">B19*B16</f>
        <v>3706519.4120447896</v>
      </c>
      <c r="C20" s="194">
        <f t="shared" si="9"/>
        <v>5524980.076688434</v>
      </c>
      <c r="D20" s="194">
        <f t="shared" si="9"/>
        <v>13255682.978643315</v>
      </c>
      <c r="E20" s="194">
        <f t="shared" si="9"/>
        <v>15621390.934304394</v>
      </c>
      <c r="F20" s="195">
        <f t="shared" si="9"/>
        <v>19216736.149054792</v>
      </c>
      <c r="G20" s="440"/>
      <c r="H20" s="3"/>
      <c r="I20" s="3"/>
      <c r="K20" s="77"/>
      <c r="L20" s="77"/>
      <c r="M20" s="77"/>
    </row>
    <row r="21" spans="1:13" ht="18" customHeight="1">
      <c r="A21" s="196"/>
      <c r="B21" s="197"/>
      <c r="C21" s="197"/>
      <c r="D21" s="197"/>
      <c r="E21" s="197"/>
      <c r="F21" s="5"/>
      <c r="G21" s="440"/>
      <c r="H21" s="3"/>
      <c r="I21" s="3"/>
      <c r="K21" s="77"/>
      <c r="L21" s="77"/>
      <c r="M21" s="77"/>
    </row>
    <row r="22" spans="1:13" ht="18" customHeight="1">
      <c r="A22" s="1998" t="s">
        <v>199</v>
      </c>
      <c r="B22" s="1999"/>
      <c r="C22" s="69"/>
      <c r="E22" s="198"/>
      <c r="F22" s="198"/>
      <c r="G22" s="830"/>
      <c r="H22" s="3"/>
      <c r="I22" s="3"/>
    </row>
    <row r="23" spans="1:13" ht="18" customHeight="1">
      <c r="A23" s="199" t="s">
        <v>200</v>
      </c>
      <c r="B23" s="1272">
        <v>300</v>
      </c>
      <c r="C23" s="3"/>
      <c r="D23" s="198"/>
      <c r="E23" s="200"/>
      <c r="F23" s="200"/>
      <c r="G23" s="831"/>
      <c r="H23" s="3"/>
      <c r="I23" s="3"/>
    </row>
    <row r="24" spans="1:13" ht="18" customHeight="1">
      <c r="A24" s="201" t="s">
        <v>201</v>
      </c>
      <c r="B24" s="1273">
        <f>1+0.2</f>
        <v>1.2</v>
      </c>
      <c r="C24" s="3"/>
      <c r="D24" s="200"/>
      <c r="E24" s="200"/>
      <c r="F24" s="200"/>
      <c r="G24" s="831"/>
      <c r="H24" s="3"/>
      <c r="I24" s="3"/>
    </row>
    <row r="25" spans="1:13" ht="18" customHeight="1">
      <c r="A25" s="202" t="s">
        <v>202</v>
      </c>
      <c r="B25" s="1274">
        <f>1-0.072</f>
        <v>0.92800000000000005</v>
      </c>
      <c r="C25" s="3"/>
      <c r="D25" s="203"/>
      <c r="E25" s="203"/>
      <c r="F25" s="203"/>
      <c r="G25" s="832"/>
      <c r="H25" s="3"/>
      <c r="I25" s="3"/>
    </row>
    <row r="26" spans="1:13" ht="18" customHeight="1">
      <c r="A26" s="202" t="s">
        <v>203</v>
      </c>
      <c r="B26" s="1275">
        <f>B25</f>
        <v>0.92800000000000005</v>
      </c>
      <c r="C26" s="3"/>
      <c r="D26" s="204"/>
      <c r="E26" s="204"/>
      <c r="F26" s="204"/>
      <c r="G26" s="440"/>
      <c r="H26" s="3"/>
      <c r="I26" s="3"/>
    </row>
    <row r="27" spans="1:13" ht="18" customHeight="1">
      <c r="A27" s="199" t="s">
        <v>204</v>
      </c>
      <c r="B27" s="1276">
        <f>1-28.3%</f>
        <v>0.71699999999999997</v>
      </c>
      <c r="C27" s="3"/>
      <c r="D27" s="204"/>
      <c r="E27" s="204"/>
      <c r="F27" s="204"/>
      <c r="G27" s="440"/>
      <c r="H27" s="3"/>
      <c r="I27" s="3"/>
    </row>
    <row r="28" spans="1:13" ht="16">
      <c r="A28" s="130"/>
      <c r="B28" s="77"/>
      <c r="C28" s="204"/>
      <c r="D28" s="204"/>
      <c r="E28" s="204"/>
      <c r="F28" s="204"/>
      <c r="G28" s="440"/>
      <c r="H28" s="3"/>
      <c r="I28" s="3"/>
    </row>
    <row r="29" spans="1:13" ht="16">
      <c r="D29" s="205"/>
      <c r="E29" s="205"/>
      <c r="F29" s="205"/>
      <c r="G29" s="830"/>
      <c r="H29" s="3"/>
      <c r="I29" s="3"/>
    </row>
    <row r="30" spans="1:13" ht="16">
      <c r="D30" s="206"/>
      <c r="E30" s="207"/>
      <c r="F30" s="207"/>
      <c r="G30" s="674"/>
      <c r="H30" s="3"/>
      <c r="I30" s="3"/>
    </row>
    <row r="31" spans="1:13" ht="16">
      <c r="D31" s="206"/>
      <c r="E31" s="207"/>
      <c r="F31" s="207"/>
      <c r="G31" s="542"/>
      <c r="H31" s="3"/>
      <c r="I31" s="3"/>
      <c r="K31" s="77"/>
      <c r="L31" s="77"/>
      <c r="M31" s="77"/>
    </row>
    <row r="32" spans="1:13" ht="16">
      <c r="D32" s="6"/>
      <c r="E32" s="6"/>
      <c r="F32" s="207"/>
      <c r="G32" s="674"/>
      <c r="H32" s="3"/>
      <c r="I32" s="3"/>
      <c r="K32" s="77"/>
      <c r="L32" s="77"/>
      <c r="M32" s="77"/>
    </row>
    <row r="33" spans="1:13" ht="16">
      <c r="D33" s="6"/>
      <c r="E33" s="208"/>
      <c r="F33" s="6"/>
      <c r="G33" s="674"/>
      <c r="H33" s="3"/>
      <c r="I33" s="3"/>
      <c r="K33" s="77"/>
      <c r="L33" s="77"/>
      <c r="M33" s="77"/>
    </row>
    <row r="34" spans="1:13" ht="16">
      <c r="D34" s="5"/>
      <c r="E34" s="5"/>
      <c r="F34" s="5"/>
      <c r="G34" s="674"/>
      <c r="H34" s="3"/>
      <c r="I34" s="3"/>
      <c r="K34" s="77"/>
      <c r="L34" s="77"/>
      <c r="M34" s="77"/>
    </row>
    <row r="35" spans="1:13" ht="16">
      <c r="D35" s="5"/>
      <c r="E35" s="5"/>
      <c r="F35" s="5"/>
      <c r="G35" s="674"/>
      <c r="H35" s="3"/>
      <c r="I35" s="3"/>
      <c r="K35" s="77"/>
      <c r="L35" s="77"/>
      <c r="M35" s="77"/>
    </row>
    <row r="36" spans="1:13" ht="16">
      <c r="D36" s="209"/>
      <c r="E36" s="209"/>
      <c r="F36" s="209"/>
      <c r="G36" s="674"/>
      <c r="H36" s="3"/>
      <c r="I36" s="3"/>
      <c r="K36" s="77"/>
      <c r="L36" s="77"/>
      <c r="M36" s="77"/>
    </row>
    <row r="37" spans="1:13" ht="16">
      <c r="D37" s="206"/>
      <c r="E37" s="207"/>
      <c r="F37" s="207"/>
      <c r="G37" s="674"/>
      <c r="H37" s="3"/>
      <c r="I37" s="3"/>
      <c r="K37" s="77"/>
      <c r="L37" s="77"/>
      <c r="M37" s="77"/>
    </row>
    <row r="38" spans="1:13" ht="16">
      <c r="D38" s="206"/>
      <c r="E38" s="210"/>
      <c r="F38" s="207"/>
      <c r="G38" s="674"/>
      <c r="H38" s="3"/>
      <c r="I38" s="3"/>
      <c r="K38" s="77"/>
      <c r="L38" s="77"/>
      <c r="M38" s="77"/>
    </row>
    <row r="39" spans="1:13" ht="16">
      <c r="D39" s="206"/>
      <c r="E39" s="207"/>
      <c r="F39" s="207"/>
      <c r="G39" s="674"/>
      <c r="H39" s="3"/>
      <c r="I39" s="3"/>
      <c r="K39" s="77"/>
      <c r="L39" s="77"/>
      <c r="M39" s="77"/>
    </row>
    <row r="40" spans="1:13" ht="16">
      <c r="D40" s="207"/>
      <c r="E40" s="207"/>
      <c r="F40" s="207"/>
      <c r="G40" s="674"/>
      <c r="H40" s="3"/>
      <c r="I40" s="3"/>
      <c r="K40" s="77"/>
      <c r="L40" s="77"/>
      <c r="M40" s="77"/>
    </row>
    <row r="41" spans="1:13" ht="16">
      <c r="A41" s="8"/>
      <c r="B41" s="6"/>
      <c r="C41" s="207"/>
      <c r="D41" s="207"/>
      <c r="E41" s="208"/>
      <c r="F41" s="6"/>
      <c r="G41" s="674"/>
      <c r="H41" s="3"/>
      <c r="I41" s="3"/>
      <c r="K41" s="77"/>
      <c r="L41" s="77"/>
      <c r="M41" s="77"/>
    </row>
    <row r="42" spans="1:13" ht="16">
      <c r="A42" s="186"/>
      <c r="B42" s="5"/>
      <c r="C42" s="5"/>
      <c r="D42" s="5"/>
      <c r="E42" s="5"/>
      <c r="F42" s="5"/>
      <c r="G42" s="674"/>
      <c r="H42" s="3"/>
      <c r="I42" s="3"/>
    </row>
    <row r="43" spans="1:13" ht="16">
      <c r="A43" s="186"/>
      <c r="B43" s="5"/>
      <c r="C43" s="5"/>
      <c r="D43" s="5"/>
      <c r="E43" s="5"/>
      <c r="F43" s="5"/>
      <c r="G43" s="674"/>
      <c r="H43" s="3"/>
      <c r="I43" s="3"/>
    </row>
    <row r="44" spans="1:13" ht="16">
      <c r="A44" s="8"/>
      <c r="B44" s="209"/>
      <c r="C44" s="209"/>
      <c r="D44" s="209"/>
      <c r="E44" s="209"/>
      <c r="F44" s="209"/>
      <c r="G44" s="674"/>
      <c r="H44" s="3"/>
      <c r="I44" s="3"/>
    </row>
    <row r="45" spans="1:13" ht="16">
      <c r="A45" s="14"/>
      <c r="B45" s="206"/>
      <c r="C45" s="211"/>
      <c r="D45" s="206"/>
      <c r="E45" s="207"/>
      <c r="F45" s="207"/>
      <c r="G45" s="674"/>
      <c r="H45" s="3"/>
      <c r="I45" s="3"/>
    </row>
    <row r="46" spans="1:13" ht="16">
      <c r="A46" s="14"/>
      <c r="B46" s="206"/>
      <c r="C46" s="211"/>
      <c r="D46" s="206"/>
      <c r="E46" s="210"/>
      <c r="F46" s="207"/>
      <c r="G46" s="674"/>
      <c r="H46" s="3"/>
      <c r="I46" s="3"/>
    </row>
    <row r="47" spans="1:13" ht="16">
      <c r="A47" s="14"/>
      <c r="B47" s="206"/>
      <c r="C47" s="211"/>
      <c r="D47" s="206"/>
      <c r="E47" s="210"/>
      <c r="F47" s="207"/>
      <c r="G47" s="674"/>
      <c r="H47" s="3"/>
      <c r="I47" s="3"/>
    </row>
    <row r="48" spans="1:13" ht="16">
      <c r="A48" s="14"/>
      <c r="B48" s="206"/>
      <c r="C48" s="211"/>
      <c r="D48" s="206"/>
      <c r="E48" s="207"/>
      <c r="F48" s="207"/>
      <c r="G48" s="674"/>
      <c r="H48" s="3"/>
      <c r="I48" s="3"/>
    </row>
    <row r="49" spans="1:9" ht="16">
      <c r="A49" s="8"/>
      <c r="B49" s="6"/>
      <c r="C49" s="208"/>
      <c r="D49" s="6"/>
      <c r="E49" s="207"/>
      <c r="F49" s="207"/>
      <c r="G49" s="674"/>
      <c r="H49" s="3"/>
      <c r="I49" s="3"/>
    </row>
    <row r="50" spans="1:9" ht="16">
      <c r="A50" s="8"/>
      <c r="B50" s="6"/>
      <c r="C50" s="6"/>
      <c r="D50" s="6"/>
      <c r="E50" s="208"/>
      <c r="F50" s="6"/>
      <c r="G50" s="674"/>
    </row>
    <row r="51" spans="1:9" ht="16">
      <c r="A51" s="3"/>
      <c r="B51" s="6"/>
      <c r="C51" s="6"/>
      <c r="D51" s="6"/>
      <c r="E51" s="6"/>
      <c r="F51" s="6"/>
      <c r="G51" s="674"/>
    </row>
    <row r="52" spans="1:9" ht="16">
      <c r="A52" s="3"/>
      <c r="B52" s="6"/>
      <c r="C52" s="6"/>
      <c r="D52" s="6"/>
      <c r="E52" s="6"/>
      <c r="F52" s="6"/>
      <c r="G52" s="674"/>
    </row>
    <row r="53" spans="1:9" ht="16">
      <c r="A53" s="8"/>
      <c r="B53" s="209"/>
      <c r="C53" s="209"/>
      <c r="D53" s="209"/>
      <c r="E53" s="209"/>
      <c r="F53" s="209"/>
      <c r="G53" s="674"/>
    </row>
    <row r="54" spans="1:9" ht="16">
      <c r="A54" s="14"/>
      <c r="B54" s="206"/>
      <c r="C54" s="211"/>
      <c r="D54" s="206"/>
      <c r="E54" s="207"/>
      <c r="F54" s="207"/>
      <c r="G54" s="674"/>
    </row>
    <row r="55" spans="1:9" ht="16">
      <c r="A55" s="14"/>
      <c r="B55" s="206"/>
      <c r="C55" s="211"/>
      <c r="D55" s="206"/>
      <c r="E55" s="207"/>
      <c r="F55" s="207"/>
      <c r="G55" s="674"/>
    </row>
    <row r="56" spans="1:9" ht="16">
      <c r="A56" s="14"/>
      <c r="B56" s="206"/>
      <c r="C56" s="211"/>
      <c r="D56" s="206"/>
      <c r="E56" s="207"/>
      <c r="F56" s="207"/>
      <c r="G56" s="674"/>
    </row>
    <row r="57" spans="1:9" ht="16">
      <c r="A57" s="14"/>
      <c r="B57" s="206"/>
      <c r="C57" s="211"/>
      <c r="D57" s="206"/>
      <c r="E57" s="207"/>
      <c r="F57" s="207"/>
      <c r="G57" s="674"/>
    </row>
    <row r="58" spans="1:9" ht="16">
      <c r="A58" s="8"/>
      <c r="B58" s="6"/>
      <c r="C58" s="208"/>
      <c r="D58" s="6"/>
      <c r="E58" s="6"/>
      <c r="F58" s="207"/>
      <c r="G58" s="674"/>
    </row>
    <row r="59" spans="1:9" ht="16">
      <c r="A59" s="8"/>
      <c r="B59" s="6"/>
      <c r="C59" s="6"/>
      <c r="D59" s="6"/>
      <c r="E59" s="208"/>
      <c r="F59" s="6"/>
      <c r="G59" s="674"/>
    </row>
    <row r="60" spans="1:9" ht="16">
      <c r="A60" s="186"/>
      <c r="B60" s="5"/>
      <c r="C60" s="5"/>
      <c r="D60" s="5"/>
      <c r="E60" s="5"/>
      <c r="F60" s="5"/>
      <c r="G60" s="674"/>
    </row>
    <row r="61" spans="1:9" ht="16">
      <c r="A61" s="186"/>
      <c r="B61" s="5"/>
      <c r="C61" s="5"/>
      <c r="D61" s="5"/>
      <c r="E61" s="5"/>
      <c r="F61" s="5"/>
      <c r="G61" s="674"/>
    </row>
    <row r="62" spans="1:9" ht="16">
      <c r="A62" s="186"/>
      <c r="B62" s="5"/>
      <c r="C62" s="5"/>
      <c r="D62" s="5"/>
      <c r="E62" s="5"/>
      <c r="F62" s="5"/>
      <c r="G62" s="674"/>
    </row>
    <row r="63" spans="1:9" ht="16">
      <c r="A63" s="186"/>
      <c r="B63" s="5"/>
      <c r="C63" s="5"/>
      <c r="D63" s="5"/>
      <c r="E63" s="5"/>
      <c r="F63" s="5"/>
      <c r="G63" s="674"/>
    </row>
    <row r="64" spans="1:9" ht="16">
      <c r="B64" s="5"/>
      <c r="C64" s="5"/>
      <c r="D64" s="5"/>
      <c r="E64" s="5"/>
      <c r="F64" s="5"/>
      <c r="G64" s="674"/>
    </row>
    <row r="65" spans="2:7" ht="16">
      <c r="B65" s="5"/>
      <c r="C65" s="5"/>
      <c r="D65" s="5"/>
      <c r="E65" s="5"/>
      <c r="F65" s="5"/>
      <c r="G65" s="674"/>
    </row>
    <row r="66" spans="2:7" ht="16">
      <c r="B66" s="5"/>
      <c r="C66" s="5"/>
      <c r="D66" s="5"/>
      <c r="E66" s="5"/>
      <c r="F66" s="5"/>
      <c r="G66" s="674"/>
    </row>
    <row r="67" spans="2:7" ht="16">
      <c r="B67" s="5"/>
      <c r="C67" s="5"/>
      <c r="D67" s="5"/>
      <c r="E67" s="5"/>
      <c r="F67" s="5"/>
      <c r="G67" s="674"/>
    </row>
    <row r="68" spans="2:7" ht="13">
      <c r="B68" s="5"/>
      <c r="C68" s="5"/>
      <c r="D68" s="5"/>
      <c r="E68" s="5"/>
      <c r="F68" s="5"/>
    </row>
    <row r="69" spans="2:7" ht="13">
      <c r="B69" s="5"/>
      <c r="C69" s="5"/>
      <c r="D69" s="5"/>
      <c r="E69" s="5"/>
      <c r="F69" s="5"/>
    </row>
    <row r="70" spans="2:7" ht="13">
      <c r="B70" s="5"/>
      <c r="C70" s="5"/>
      <c r="D70" s="5"/>
      <c r="E70" s="5"/>
      <c r="F70" s="5"/>
    </row>
    <row r="71" spans="2:7" ht="13">
      <c r="B71" s="5"/>
      <c r="C71" s="5"/>
      <c r="D71" s="5"/>
      <c r="E71" s="5"/>
      <c r="F71" s="5"/>
    </row>
    <row r="72" spans="2:7" ht="13">
      <c r="B72" s="5"/>
      <c r="C72" s="5"/>
      <c r="D72" s="5"/>
      <c r="E72" s="5"/>
      <c r="F72" s="5"/>
    </row>
    <row r="73" spans="2:7" ht="13">
      <c r="B73" s="5"/>
      <c r="C73" s="5"/>
      <c r="D73" s="5"/>
      <c r="E73" s="5"/>
      <c r="F73" s="5"/>
    </row>
    <row r="74" spans="2:7" ht="13">
      <c r="B74" s="5"/>
      <c r="C74" s="5"/>
      <c r="D74" s="5"/>
      <c r="E74" s="5"/>
      <c r="F74" s="5"/>
    </row>
    <row r="75" spans="2:7" ht="13">
      <c r="B75" s="5"/>
      <c r="C75" s="5"/>
      <c r="D75" s="5"/>
      <c r="E75" s="5"/>
      <c r="F75" s="5"/>
    </row>
    <row r="76" spans="2:7" ht="13">
      <c r="B76" s="5"/>
      <c r="C76" s="5"/>
      <c r="D76" s="5"/>
      <c r="E76" s="5"/>
      <c r="F76" s="5"/>
    </row>
    <row r="77" spans="2:7" ht="13">
      <c r="B77" s="5"/>
      <c r="C77" s="5"/>
      <c r="D77" s="5"/>
      <c r="E77" s="5"/>
      <c r="F77" s="5"/>
    </row>
    <row r="78" spans="2:7" ht="13">
      <c r="B78" s="5"/>
      <c r="C78" s="5"/>
      <c r="D78" s="5"/>
      <c r="E78" s="5"/>
      <c r="F78" s="5"/>
    </row>
    <row r="79" spans="2:7" ht="13">
      <c r="B79" s="5"/>
      <c r="C79" s="5"/>
      <c r="D79" s="5"/>
      <c r="E79" s="5"/>
      <c r="F79" s="5"/>
    </row>
    <row r="80" spans="2:7" ht="13">
      <c r="B80" s="5"/>
      <c r="C80" s="5"/>
      <c r="D80" s="5"/>
      <c r="E80" s="5"/>
      <c r="F80" s="5"/>
    </row>
    <row r="81" spans="2:6" ht="13">
      <c r="B81" s="5"/>
      <c r="C81" s="5"/>
      <c r="D81" s="5"/>
      <c r="E81" s="5"/>
      <c r="F81" s="5"/>
    </row>
    <row r="82" spans="2:6" ht="13">
      <c r="B82" s="5"/>
      <c r="C82" s="5"/>
      <c r="D82" s="5"/>
      <c r="E82" s="5"/>
      <c r="F82" s="5"/>
    </row>
    <row r="83" spans="2:6" ht="13">
      <c r="B83" s="5"/>
      <c r="C83" s="5"/>
      <c r="D83" s="5"/>
      <c r="E83" s="5"/>
      <c r="F83" s="5"/>
    </row>
    <row r="84" spans="2:6" ht="13">
      <c r="B84" s="5"/>
      <c r="C84" s="5"/>
      <c r="D84" s="5"/>
      <c r="E84" s="5"/>
      <c r="F84" s="5"/>
    </row>
    <row r="85" spans="2:6" ht="13">
      <c r="B85" s="5"/>
      <c r="C85" s="5"/>
      <c r="D85" s="5"/>
      <c r="E85" s="5"/>
      <c r="F85" s="5"/>
    </row>
    <row r="86" spans="2:6" ht="13">
      <c r="B86" s="5"/>
      <c r="C86" s="5"/>
      <c r="D86" s="5"/>
      <c r="E86" s="5"/>
      <c r="F86" s="5"/>
    </row>
    <row r="87" spans="2:6" ht="13">
      <c r="B87" s="5"/>
      <c r="C87" s="5"/>
      <c r="D87" s="5"/>
      <c r="E87" s="5"/>
      <c r="F87" s="5"/>
    </row>
    <row r="88" spans="2:6" ht="13">
      <c r="B88" s="5"/>
      <c r="C88" s="5"/>
      <c r="D88" s="5"/>
      <c r="E88" s="5"/>
      <c r="F88" s="5"/>
    </row>
    <row r="89" spans="2:6" ht="13">
      <c r="B89" s="5"/>
      <c r="C89" s="5"/>
      <c r="D89" s="5"/>
      <c r="E89" s="5"/>
      <c r="F89" s="5"/>
    </row>
    <row r="90" spans="2:6" ht="13">
      <c r="B90" s="5"/>
      <c r="C90" s="5"/>
      <c r="D90" s="5"/>
      <c r="E90" s="5"/>
      <c r="F90" s="5"/>
    </row>
    <row r="91" spans="2:6" ht="13">
      <c r="B91" s="5"/>
      <c r="C91" s="5"/>
      <c r="D91" s="5"/>
      <c r="E91" s="5"/>
      <c r="F91" s="5"/>
    </row>
    <row r="92" spans="2:6" ht="13">
      <c r="B92" s="5"/>
      <c r="C92" s="5"/>
      <c r="D92" s="5"/>
      <c r="E92" s="5"/>
      <c r="F92" s="5"/>
    </row>
    <row r="93" spans="2:6" ht="13">
      <c r="B93" s="5"/>
      <c r="C93" s="5"/>
      <c r="D93" s="5"/>
      <c r="E93" s="5"/>
      <c r="F93" s="5"/>
    </row>
    <row r="94" spans="2:6" ht="13">
      <c r="B94" s="5"/>
      <c r="C94" s="5"/>
      <c r="D94" s="5"/>
      <c r="E94" s="5"/>
      <c r="F94" s="5"/>
    </row>
    <row r="95" spans="2:6" ht="13">
      <c r="B95" s="5"/>
      <c r="C95" s="5"/>
      <c r="D95" s="5"/>
      <c r="E95" s="5"/>
      <c r="F95" s="5"/>
    </row>
    <row r="96" spans="2:6" ht="13">
      <c r="B96" s="5"/>
      <c r="C96" s="5"/>
      <c r="D96" s="5"/>
      <c r="E96" s="5"/>
      <c r="F96" s="5"/>
    </row>
    <row r="97" spans="2:6" ht="13">
      <c r="B97" s="5"/>
      <c r="C97" s="5"/>
      <c r="D97" s="5"/>
      <c r="E97" s="5"/>
      <c r="F97" s="5"/>
    </row>
    <row r="98" spans="2:6" ht="13">
      <c r="B98" s="5"/>
      <c r="C98" s="5"/>
      <c r="D98" s="5"/>
      <c r="E98" s="5"/>
      <c r="F98" s="5"/>
    </row>
    <row r="99" spans="2:6" ht="13">
      <c r="B99" s="5"/>
      <c r="C99" s="5"/>
      <c r="D99" s="5"/>
      <c r="E99" s="5"/>
      <c r="F99" s="5"/>
    </row>
    <row r="100" spans="2:6" ht="13">
      <c r="B100" s="5"/>
      <c r="C100" s="5"/>
      <c r="D100" s="5"/>
      <c r="E100" s="5"/>
      <c r="F100" s="5"/>
    </row>
    <row r="101" spans="2:6" ht="13">
      <c r="B101" s="5"/>
      <c r="C101" s="5"/>
      <c r="D101" s="5"/>
      <c r="E101" s="5"/>
      <c r="F101" s="5"/>
    </row>
    <row r="102" spans="2:6" ht="13">
      <c r="B102" s="5"/>
      <c r="C102" s="5"/>
      <c r="D102" s="5"/>
      <c r="E102" s="5"/>
      <c r="F102" s="5"/>
    </row>
    <row r="103" spans="2:6" ht="13">
      <c r="B103" s="5"/>
      <c r="C103" s="5"/>
      <c r="D103" s="5"/>
      <c r="E103" s="5"/>
      <c r="F103" s="5"/>
    </row>
    <row r="104" spans="2:6" ht="13">
      <c r="B104" s="5"/>
      <c r="C104" s="5"/>
      <c r="D104" s="5"/>
      <c r="E104" s="5"/>
      <c r="F104" s="5"/>
    </row>
    <row r="105" spans="2:6" ht="13">
      <c r="B105" s="5"/>
      <c r="C105" s="5"/>
      <c r="D105" s="5"/>
      <c r="E105" s="5"/>
      <c r="F105" s="5"/>
    </row>
    <row r="106" spans="2:6" ht="13">
      <c r="B106" s="5"/>
      <c r="C106" s="5"/>
      <c r="D106" s="5"/>
      <c r="E106" s="5"/>
      <c r="F106" s="5"/>
    </row>
    <row r="107" spans="2:6" ht="13">
      <c r="B107" s="5"/>
      <c r="C107" s="5"/>
      <c r="D107" s="5"/>
      <c r="E107" s="5"/>
      <c r="F107" s="5"/>
    </row>
    <row r="108" spans="2:6" ht="13">
      <c r="B108" s="5"/>
      <c r="C108" s="5"/>
      <c r="D108" s="5"/>
      <c r="E108" s="5"/>
      <c r="F108" s="5"/>
    </row>
    <row r="109" spans="2:6" ht="13">
      <c r="B109" s="5"/>
      <c r="C109" s="5"/>
      <c r="D109" s="5"/>
      <c r="E109" s="5"/>
      <c r="F109" s="5"/>
    </row>
    <row r="110" spans="2:6" ht="13">
      <c r="B110" s="5"/>
      <c r="C110" s="5"/>
      <c r="D110" s="5"/>
      <c r="E110" s="5"/>
      <c r="F110" s="5"/>
    </row>
    <row r="111" spans="2:6" ht="13">
      <c r="B111" s="5"/>
      <c r="C111" s="5"/>
      <c r="D111" s="5"/>
      <c r="E111" s="5"/>
      <c r="F111" s="5"/>
    </row>
    <row r="112" spans="2:6" ht="13">
      <c r="B112" s="5"/>
      <c r="C112" s="5"/>
      <c r="D112" s="5"/>
      <c r="E112" s="5"/>
      <c r="F112" s="5"/>
    </row>
    <row r="113" spans="2:6" ht="13">
      <c r="B113" s="5"/>
      <c r="C113" s="5"/>
      <c r="D113" s="5"/>
      <c r="E113" s="5"/>
      <c r="F113" s="5"/>
    </row>
    <row r="114" spans="2:6" ht="13">
      <c r="B114" s="5"/>
      <c r="C114" s="5"/>
      <c r="D114" s="5"/>
      <c r="E114" s="5"/>
      <c r="F114" s="5"/>
    </row>
    <row r="115" spans="2:6" ht="13">
      <c r="B115" s="5"/>
      <c r="C115" s="5"/>
      <c r="D115" s="5"/>
      <c r="E115" s="5"/>
      <c r="F115" s="5"/>
    </row>
    <row r="116" spans="2:6" ht="13">
      <c r="B116" s="5"/>
      <c r="C116" s="5"/>
      <c r="D116" s="5"/>
      <c r="E116" s="5"/>
      <c r="F116" s="5"/>
    </row>
    <row r="117" spans="2:6" ht="13">
      <c r="B117" s="5"/>
      <c r="C117" s="5"/>
      <c r="D117" s="5"/>
      <c r="E117" s="5"/>
      <c r="F117" s="5"/>
    </row>
    <row r="118" spans="2:6" ht="13">
      <c r="B118" s="5"/>
      <c r="C118" s="5"/>
      <c r="D118" s="5"/>
      <c r="E118" s="5"/>
      <c r="F118" s="5"/>
    </row>
    <row r="119" spans="2:6" ht="13">
      <c r="B119" s="5"/>
      <c r="C119" s="5"/>
      <c r="D119" s="5"/>
      <c r="E119" s="5"/>
      <c r="F119" s="5"/>
    </row>
    <row r="120" spans="2:6" ht="13">
      <c r="B120" s="5"/>
      <c r="C120" s="5"/>
      <c r="D120" s="5"/>
      <c r="E120" s="5"/>
      <c r="F120" s="5"/>
    </row>
    <row r="121" spans="2:6" ht="13">
      <c r="B121" s="5"/>
      <c r="C121" s="5"/>
      <c r="D121" s="5"/>
      <c r="E121" s="5"/>
      <c r="F121" s="5"/>
    </row>
    <row r="122" spans="2:6" ht="13">
      <c r="B122" s="5"/>
      <c r="C122" s="5"/>
      <c r="D122" s="5"/>
      <c r="E122" s="5"/>
      <c r="F122" s="5"/>
    </row>
    <row r="123" spans="2:6" ht="13">
      <c r="B123" s="5"/>
      <c r="C123" s="5"/>
      <c r="D123" s="5"/>
      <c r="E123" s="5"/>
      <c r="F123" s="5"/>
    </row>
    <row r="124" spans="2:6" ht="13">
      <c r="B124" s="5"/>
      <c r="C124" s="5"/>
      <c r="D124" s="5"/>
      <c r="E124" s="5"/>
      <c r="F124" s="5"/>
    </row>
    <row r="125" spans="2:6" ht="13">
      <c r="B125" s="5"/>
      <c r="C125" s="5"/>
      <c r="D125" s="5"/>
      <c r="E125" s="5"/>
      <c r="F125" s="5"/>
    </row>
    <row r="126" spans="2:6" ht="13">
      <c r="B126" s="5"/>
      <c r="C126" s="5"/>
      <c r="D126" s="5"/>
      <c r="E126" s="5"/>
      <c r="F126" s="5"/>
    </row>
    <row r="127" spans="2:6" ht="13">
      <c r="B127" s="5"/>
      <c r="C127" s="5"/>
      <c r="D127" s="5"/>
      <c r="E127" s="5"/>
      <c r="F127" s="5"/>
    </row>
    <row r="128" spans="2:6" ht="13">
      <c r="B128" s="5"/>
      <c r="C128" s="5"/>
      <c r="D128" s="5"/>
      <c r="E128" s="5"/>
      <c r="F128" s="5"/>
    </row>
    <row r="129" spans="2:6" ht="13">
      <c r="B129" s="5"/>
      <c r="C129" s="5"/>
      <c r="D129" s="5"/>
      <c r="E129" s="5"/>
      <c r="F129" s="5"/>
    </row>
    <row r="130" spans="2:6" ht="13">
      <c r="B130" s="5"/>
      <c r="C130" s="5"/>
      <c r="D130" s="5"/>
      <c r="E130" s="5"/>
      <c r="F130" s="5"/>
    </row>
    <row r="131" spans="2:6" ht="13">
      <c r="B131" s="5"/>
      <c r="C131" s="5"/>
      <c r="D131" s="5"/>
      <c r="E131" s="5"/>
      <c r="F131" s="5"/>
    </row>
    <row r="132" spans="2:6" ht="13">
      <c r="B132" s="5"/>
      <c r="C132" s="5"/>
      <c r="D132" s="5"/>
      <c r="E132" s="5"/>
      <c r="F132" s="5"/>
    </row>
    <row r="133" spans="2:6" ht="13">
      <c r="B133" s="5"/>
      <c r="C133" s="5"/>
      <c r="D133" s="5"/>
      <c r="E133" s="5"/>
      <c r="F133" s="5"/>
    </row>
    <row r="134" spans="2:6" ht="13">
      <c r="B134" s="5"/>
      <c r="C134" s="5"/>
      <c r="D134" s="5"/>
      <c r="E134" s="5"/>
      <c r="F134" s="5"/>
    </row>
    <row r="135" spans="2:6" ht="13">
      <c r="B135" s="5"/>
      <c r="C135" s="5"/>
      <c r="D135" s="5"/>
      <c r="E135" s="5"/>
      <c r="F135" s="5"/>
    </row>
    <row r="136" spans="2:6" ht="13">
      <c r="B136" s="5"/>
      <c r="C136" s="5"/>
      <c r="D136" s="5"/>
      <c r="E136" s="5"/>
      <c r="F136" s="5"/>
    </row>
    <row r="137" spans="2:6" ht="13">
      <c r="B137" s="5"/>
      <c r="C137" s="5"/>
      <c r="D137" s="5"/>
      <c r="E137" s="5"/>
      <c r="F137" s="5"/>
    </row>
    <row r="138" spans="2:6" ht="13">
      <c r="B138" s="5"/>
      <c r="C138" s="5"/>
      <c r="D138" s="5"/>
      <c r="E138" s="5"/>
      <c r="F138" s="5"/>
    </row>
    <row r="139" spans="2:6" ht="13">
      <c r="B139" s="5"/>
      <c r="C139" s="5"/>
      <c r="D139" s="5"/>
      <c r="E139" s="5"/>
      <c r="F139" s="5"/>
    </row>
    <row r="140" spans="2:6" ht="13">
      <c r="B140" s="5"/>
      <c r="C140" s="5"/>
      <c r="D140" s="5"/>
      <c r="E140" s="5"/>
      <c r="F140" s="5"/>
    </row>
    <row r="141" spans="2:6" ht="13">
      <c r="B141" s="5"/>
      <c r="C141" s="5"/>
      <c r="D141" s="5"/>
      <c r="E141" s="5"/>
      <c r="F141" s="5"/>
    </row>
    <row r="142" spans="2:6" ht="13">
      <c r="B142" s="5"/>
      <c r="C142" s="5"/>
      <c r="D142" s="5"/>
      <c r="E142" s="5"/>
      <c r="F142" s="5"/>
    </row>
    <row r="143" spans="2:6" ht="13">
      <c r="B143" s="5"/>
      <c r="C143" s="5"/>
      <c r="D143" s="5"/>
      <c r="E143" s="5"/>
      <c r="F143" s="5"/>
    </row>
    <row r="144" spans="2:6" ht="13">
      <c r="B144" s="5"/>
      <c r="C144" s="5"/>
      <c r="D144" s="5"/>
      <c r="E144" s="5"/>
      <c r="F144" s="5"/>
    </row>
    <row r="145" spans="2:6" ht="13">
      <c r="B145" s="5"/>
      <c r="C145" s="5"/>
      <c r="D145" s="5"/>
      <c r="E145" s="5"/>
      <c r="F145" s="5"/>
    </row>
    <row r="146" spans="2:6" ht="13">
      <c r="B146" s="5"/>
      <c r="C146" s="5"/>
      <c r="D146" s="5"/>
      <c r="E146" s="5"/>
      <c r="F146" s="5"/>
    </row>
    <row r="147" spans="2:6" ht="13">
      <c r="B147" s="5"/>
      <c r="C147" s="5"/>
      <c r="D147" s="5"/>
      <c r="E147" s="5"/>
      <c r="F147" s="5"/>
    </row>
    <row r="148" spans="2:6" ht="13">
      <c r="B148" s="5"/>
      <c r="C148" s="5"/>
      <c r="D148" s="5"/>
      <c r="E148" s="5"/>
      <c r="F148" s="5"/>
    </row>
    <row r="149" spans="2:6" ht="13">
      <c r="B149" s="5"/>
      <c r="C149" s="5"/>
      <c r="D149" s="5"/>
      <c r="E149" s="5"/>
      <c r="F149" s="5"/>
    </row>
    <row r="150" spans="2:6" ht="13">
      <c r="B150" s="5"/>
      <c r="C150" s="5"/>
      <c r="D150" s="5"/>
      <c r="E150" s="5"/>
      <c r="F150" s="5"/>
    </row>
    <row r="151" spans="2:6" ht="13">
      <c r="B151" s="5"/>
      <c r="C151" s="5"/>
      <c r="D151" s="5"/>
      <c r="E151" s="5"/>
      <c r="F151" s="5"/>
    </row>
    <row r="152" spans="2:6" ht="13">
      <c r="B152" s="5"/>
      <c r="C152" s="5"/>
      <c r="D152" s="5"/>
      <c r="E152" s="5"/>
      <c r="F152" s="5"/>
    </row>
    <row r="153" spans="2:6" ht="13">
      <c r="B153" s="5"/>
      <c r="C153" s="5"/>
      <c r="D153" s="5"/>
      <c r="E153" s="5"/>
      <c r="F153" s="5"/>
    </row>
    <row r="154" spans="2:6" ht="13">
      <c r="B154" s="5"/>
      <c r="C154" s="5"/>
      <c r="D154" s="5"/>
      <c r="E154" s="5"/>
      <c r="F154" s="5"/>
    </row>
    <row r="155" spans="2:6" ht="13">
      <c r="B155" s="5"/>
      <c r="C155" s="5"/>
      <c r="D155" s="5"/>
      <c r="E155" s="5"/>
      <c r="F155" s="5"/>
    </row>
    <row r="156" spans="2:6" ht="13">
      <c r="B156" s="5"/>
      <c r="C156" s="5"/>
      <c r="D156" s="5"/>
      <c r="E156" s="5"/>
      <c r="F156" s="5"/>
    </row>
    <row r="157" spans="2:6" ht="13">
      <c r="B157" s="5"/>
      <c r="C157" s="5"/>
      <c r="D157" s="5"/>
      <c r="E157" s="5"/>
      <c r="F157" s="5"/>
    </row>
    <row r="158" spans="2:6" ht="13">
      <c r="B158" s="5"/>
      <c r="C158" s="5"/>
      <c r="D158" s="5"/>
      <c r="E158" s="5"/>
      <c r="F158" s="5"/>
    </row>
    <row r="159" spans="2:6" ht="13">
      <c r="B159" s="5"/>
      <c r="C159" s="5"/>
      <c r="D159" s="5"/>
      <c r="E159" s="5"/>
      <c r="F159" s="5"/>
    </row>
    <row r="160" spans="2:6" ht="13">
      <c r="B160" s="5"/>
      <c r="C160" s="5"/>
      <c r="D160" s="5"/>
      <c r="E160" s="5"/>
      <c r="F160" s="5"/>
    </row>
    <row r="161" spans="2:6" ht="13">
      <c r="B161" s="5"/>
      <c r="C161" s="5"/>
      <c r="D161" s="5"/>
      <c r="E161" s="5"/>
      <c r="F161" s="5"/>
    </row>
    <row r="162" spans="2:6" ht="13">
      <c r="B162" s="5"/>
      <c r="C162" s="5"/>
      <c r="D162" s="5"/>
      <c r="E162" s="5"/>
      <c r="F162" s="5"/>
    </row>
    <row r="163" spans="2:6" ht="13">
      <c r="B163" s="5"/>
      <c r="C163" s="5"/>
      <c r="D163" s="5"/>
      <c r="E163" s="5"/>
      <c r="F163" s="5"/>
    </row>
    <row r="164" spans="2:6" ht="13">
      <c r="B164" s="5"/>
      <c r="C164" s="5"/>
      <c r="D164" s="5"/>
      <c r="E164" s="5"/>
      <c r="F164" s="5"/>
    </row>
    <row r="165" spans="2:6" ht="13">
      <c r="B165" s="5"/>
      <c r="C165" s="5"/>
      <c r="D165" s="5"/>
      <c r="E165" s="5"/>
      <c r="F165" s="5"/>
    </row>
    <row r="166" spans="2:6" ht="13">
      <c r="B166" s="5"/>
      <c r="C166" s="5"/>
      <c r="D166" s="5"/>
      <c r="E166" s="5"/>
      <c r="F166" s="5"/>
    </row>
    <row r="167" spans="2:6" ht="13">
      <c r="B167" s="5"/>
      <c r="C167" s="5"/>
      <c r="D167" s="5"/>
      <c r="E167" s="5"/>
      <c r="F167" s="5"/>
    </row>
    <row r="168" spans="2:6" ht="13">
      <c r="B168" s="5"/>
      <c r="C168" s="5"/>
      <c r="D168" s="5"/>
      <c r="E168" s="5"/>
      <c r="F168" s="5"/>
    </row>
    <row r="169" spans="2:6" ht="13">
      <c r="B169" s="5"/>
      <c r="C169" s="5"/>
      <c r="D169" s="5"/>
      <c r="E169" s="5"/>
      <c r="F169" s="5"/>
    </row>
    <row r="170" spans="2:6" ht="13">
      <c r="B170" s="5"/>
      <c r="C170" s="5"/>
      <c r="D170" s="5"/>
      <c r="E170" s="5"/>
      <c r="F170" s="5"/>
    </row>
    <row r="171" spans="2:6" ht="13">
      <c r="B171" s="5"/>
      <c r="C171" s="5"/>
      <c r="D171" s="5"/>
      <c r="E171" s="5"/>
      <c r="F171" s="5"/>
    </row>
    <row r="172" spans="2:6" ht="13">
      <c r="B172" s="5"/>
      <c r="C172" s="5"/>
      <c r="D172" s="5"/>
      <c r="E172" s="5"/>
      <c r="F172" s="5"/>
    </row>
    <row r="173" spans="2:6" ht="13">
      <c r="B173" s="5"/>
      <c r="C173" s="5"/>
      <c r="D173" s="5"/>
      <c r="E173" s="5"/>
      <c r="F173" s="5"/>
    </row>
    <row r="174" spans="2:6" ht="13">
      <c r="B174" s="5"/>
      <c r="C174" s="5"/>
      <c r="D174" s="5"/>
      <c r="E174" s="5"/>
      <c r="F174" s="5"/>
    </row>
    <row r="175" spans="2:6" ht="13">
      <c r="B175" s="5"/>
      <c r="C175" s="5"/>
      <c r="D175" s="5"/>
      <c r="E175" s="5"/>
      <c r="F175" s="5"/>
    </row>
    <row r="176" spans="2:6" ht="13">
      <c r="B176" s="5"/>
      <c r="C176" s="5"/>
      <c r="D176" s="5"/>
      <c r="E176" s="5"/>
      <c r="F176" s="5"/>
    </row>
    <row r="177" spans="2:6" ht="13">
      <c r="B177" s="5"/>
      <c r="C177" s="5"/>
      <c r="D177" s="5"/>
      <c r="E177" s="5"/>
      <c r="F177" s="5"/>
    </row>
    <row r="178" spans="2:6" ht="13">
      <c r="B178" s="5"/>
      <c r="C178" s="5"/>
      <c r="D178" s="5"/>
      <c r="E178" s="5"/>
      <c r="F178" s="5"/>
    </row>
    <row r="179" spans="2:6" ht="13">
      <c r="B179" s="5"/>
      <c r="C179" s="5"/>
      <c r="D179" s="5"/>
      <c r="E179" s="5"/>
      <c r="F179" s="5"/>
    </row>
    <row r="180" spans="2:6" ht="13">
      <c r="B180" s="5"/>
      <c r="C180" s="5"/>
      <c r="D180" s="5"/>
      <c r="E180" s="5"/>
      <c r="F180" s="5"/>
    </row>
    <row r="181" spans="2:6" ht="13">
      <c r="B181" s="5"/>
      <c r="C181" s="5"/>
      <c r="D181" s="5"/>
      <c r="E181" s="5"/>
      <c r="F181" s="5"/>
    </row>
    <row r="182" spans="2:6" ht="13">
      <c r="B182" s="5"/>
      <c r="C182" s="5"/>
      <c r="D182" s="5"/>
      <c r="E182" s="5"/>
      <c r="F182" s="5"/>
    </row>
    <row r="183" spans="2:6" ht="13">
      <c r="B183" s="5"/>
      <c r="C183" s="5"/>
      <c r="D183" s="5"/>
      <c r="E183" s="5"/>
      <c r="F183" s="5"/>
    </row>
    <row r="184" spans="2:6" ht="13">
      <c r="B184" s="5"/>
      <c r="C184" s="5"/>
      <c r="D184" s="5"/>
      <c r="E184" s="5"/>
      <c r="F184" s="5"/>
    </row>
    <row r="185" spans="2:6" ht="13">
      <c r="B185" s="5"/>
      <c r="C185" s="5"/>
      <c r="D185" s="5"/>
      <c r="E185" s="5"/>
      <c r="F185" s="5"/>
    </row>
    <row r="186" spans="2:6" ht="13">
      <c r="B186" s="5"/>
      <c r="C186" s="5"/>
      <c r="D186" s="5"/>
      <c r="E186" s="5"/>
      <c r="F186" s="5"/>
    </row>
    <row r="187" spans="2:6" ht="13">
      <c r="B187" s="5"/>
      <c r="C187" s="5"/>
      <c r="D187" s="5"/>
      <c r="E187" s="5"/>
      <c r="F187" s="5"/>
    </row>
    <row r="188" spans="2:6" ht="13">
      <c r="B188" s="5"/>
      <c r="C188" s="5"/>
      <c r="D188" s="5"/>
      <c r="E188" s="5"/>
      <c r="F188" s="5"/>
    </row>
    <row r="189" spans="2:6" ht="13">
      <c r="B189" s="5"/>
      <c r="C189" s="5"/>
      <c r="D189" s="5"/>
      <c r="E189" s="5"/>
      <c r="F189" s="5"/>
    </row>
    <row r="190" spans="2:6" ht="13">
      <c r="B190" s="5"/>
      <c r="C190" s="5"/>
      <c r="D190" s="5"/>
      <c r="E190" s="5"/>
      <c r="F190" s="5"/>
    </row>
    <row r="191" spans="2:6" ht="13">
      <c r="B191" s="5"/>
      <c r="C191" s="5"/>
      <c r="D191" s="5"/>
      <c r="E191" s="5"/>
      <c r="F191" s="5"/>
    </row>
    <row r="192" spans="2:6" ht="13">
      <c r="B192" s="5"/>
      <c r="C192" s="5"/>
      <c r="D192" s="5"/>
      <c r="E192" s="5"/>
      <c r="F192" s="5"/>
    </row>
    <row r="193" spans="2:6" ht="13">
      <c r="B193" s="5"/>
      <c r="C193" s="5"/>
      <c r="D193" s="5"/>
      <c r="E193" s="5"/>
      <c r="F193" s="5"/>
    </row>
    <row r="194" spans="2:6" ht="13">
      <c r="B194" s="5"/>
      <c r="C194" s="5"/>
      <c r="D194" s="5"/>
      <c r="E194" s="5"/>
      <c r="F194" s="5"/>
    </row>
    <row r="195" spans="2:6" ht="13">
      <c r="B195" s="5"/>
      <c r="C195" s="5"/>
      <c r="D195" s="5"/>
      <c r="E195" s="5"/>
      <c r="F195" s="5"/>
    </row>
    <row r="196" spans="2:6" ht="13">
      <c r="B196" s="5"/>
      <c r="C196" s="5"/>
      <c r="D196" s="5"/>
      <c r="E196" s="5"/>
      <c r="F196" s="5"/>
    </row>
    <row r="197" spans="2:6" ht="13">
      <c r="B197" s="5"/>
      <c r="C197" s="5"/>
      <c r="D197" s="5"/>
      <c r="E197" s="5"/>
      <c r="F197" s="5"/>
    </row>
    <row r="198" spans="2:6" ht="13">
      <c r="B198" s="5"/>
      <c r="C198" s="5"/>
      <c r="D198" s="5"/>
      <c r="E198" s="5"/>
      <c r="F198" s="5"/>
    </row>
    <row r="199" spans="2:6" ht="13">
      <c r="B199" s="5"/>
      <c r="C199" s="5"/>
      <c r="D199" s="5"/>
      <c r="E199" s="5"/>
      <c r="F199" s="5"/>
    </row>
    <row r="200" spans="2:6" ht="13">
      <c r="B200" s="5"/>
      <c r="C200" s="5"/>
      <c r="D200" s="5"/>
      <c r="E200" s="5"/>
      <c r="F200" s="5"/>
    </row>
    <row r="201" spans="2:6" ht="13">
      <c r="B201" s="5"/>
      <c r="C201" s="5"/>
      <c r="D201" s="5"/>
      <c r="E201" s="5"/>
      <c r="F201" s="5"/>
    </row>
    <row r="202" spans="2:6" ht="13">
      <c r="B202" s="5"/>
      <c r="C202" s="5"/>
      <c r="D202" s="5"/>
      <c r="E202" s="5"/>
      <c r="F202" s="5"/>
    </row>
    <row r="203" spans="2:6" ht="13">
      <c r="B203" s="5"/>
      <c r="C203" s="5"/>
      <c r="D203" s="5"/>
      <c r="E203" s="5"/>
      <c r="F203" s="5"/>
    </row>
    <row r="204" spans="2:6" ht="13">
      <c r="B204" s="5"/>
      <c r="C204" s="5"/>
      <c r="D204" s="5"/>
      <c r="E204" s="5"/>
      <c r="F204" s="5"/>
    </row>
    <row r="205" spans="2:6" ht="13">
      <c r="B205" s="5"/>
      <c r="C205" s="5"/>
      <c r="D205" s="5"/>
      <c r="E205" s="5"/>
      <c r="F205" s="5"/>
    </row>
    <row r="206" spans="2:6" ht="13">
      <c r="B206" s="5"/>
      <c r="C206" s="5"/>
      <c r="D206" s="5"/>
      <c r="E206" s="5"/>
      <c r="F206" s="5"/>
    </row>
    <row r="207" spans="2:6" ht="13">
      <c r="B207" s="5"/>
      <c r="C207" s="5"/>
      <c r="D207" s="5"/>
      <c r="E207" s="5"/>
      <c r="F207" s="5"/>
    </row>
    <row r="208" spans="2:6" ht="13">
      <c r="B208" s="5"/>
      <c r="C208" s="5"/>
      <c r="D208" s="5"/>
      <c r="E208" s="5"/>
      <c r="F208" s="5"/>
    </row>
    <row r="209" spans="2:6" ht="13">
      <c r="B209" s="5"/>
      <c r="C209" s="5"/>
      <c r="D209" s="5"/>
      <c r="E209" s="5"/>
      <c r="F209" s="5"/>
    </row>
    <row r="210" spans="2:6" ht="13">
      <c r="B210" s="5"/>
      <c r="C210" s="5"/>
      <c r="D210" s="5"/>
      <c r="E210" s="5"/>
      <c r="F210" s="5"/>
    </row>
    <row r="211" spans="2:6" ht="13">
      <c r="B211" s="5"/>
      <c r="C211" s="5"/>
      <c r="D211" s="5"/>
      <c r="E211" s="5"/>
      <c r="F211" s="5"/>
    </row>
    <row r="212" spans="2:6" ht="13">
      <c r="B212" s="5"/>
      <c r="C212" s="5"/>
      <c r="D212" s="5"/>
      <c r="E212" s="5"/>
      <c r="F212" s="5"/>
    </row>
    <row r="213" spans="2:6" ht="13">
      <c r="B213" s="5"/>
      <c r="C213" s="5"/>
      <c r="D213" s="5"/>
      <c r="E213" s="5"/>
      <c r="F213" s="5"/>
    </row>
    <row r="214" spans="2:6" ht="13">
      <c r="B214" s="5"/>
      <c r="C214" s="5"/>
      <c r="D214" s="5"/>
      <c r="E214" s="5"/>
      <c r="F214" s="5"/>
    </row>
    <row r="215" spans="2:6" ht="13">
      <c r="B215" s="5"/>
      <c r="C215" s="5"/>
      <c r="D215" s="5"/>
      <c r="E215" s="5"/>
      <c r="F215" s="5"/>
    </row>
    <row r="216" spans="2:6" ht="13">
      <c r="B216" s="5"/>
      <c r="C216" s="5"/>
      <c r="D216" s="5"/>
      <c r="E216" s="5"/>
      <c r="F216" s="5"/>
    </row>
    <row r="217" spans="2:6" ht="13">
      <c r="B217" s="5"/>
      <c r="C217" s="5"/>
      <c r="D217" s="5"/>
      <c r="E217" s="5"/>
      <c r="F217" s="5"/>
    </row>
    <row r="218" spans="2:6" ht="13">
      <c r="B218" s="5"/>
      <c r="C218" s="5"/>
      <c r="D218" s="5"/>
      <c r="E218" s="5"/>
      <c r="F218" s="5"/>
    </row>
    <row r="219" spans="2:6" ht="13">
      <c r="B219" s="5"/>
      <c r="C219" s="5"/>
      <c r="D219" s="5"/>
      <c r="E219" s="5"/>
      <c r="F219" s="5"/>
    </row>
    <row r="220" spans="2:6" ht="13">
      <c r="B220" s="5"/>
      <c r="C220" s="5"/>
      <c r="D220" s="5"/>
      <c r="E220" s="5"/>
      <c r="F220" s="5"/>
    </row>
    <row r="221" spans="2:6" ht="13">
      <c r="B221" s="5"/>
      <c r="C221" s="5"/>
      <c r="D221" s="5"/>
      <c r="E221" s="5"/>
      <c r="F221" s="5"/>
    </row>
    <row r="222" spans="2:6" ht="13">
      <c r="B222" s="5"/>
      <c r="C222" s="5"/>
      <c r="D222" s="5"/>
      <c r="E222" s="5"/>
      <c r="F222" s="5"/>
    </row>
    <row r="223" spans="2:6" ht="13">
      <c r="B223" s="5"/>
      <c r="C223" s="5"/>
      <c r="D223" s="5"/>
      <c r="E223" s="5"/>
      <c r="F223" s="5"/>
    </row>
    <row r="224" spans="2:6" ht="13">
      <c r="B224" s="5"/>
      <c r="C224" s="5"/>
      <c r="D224" s="5"/>
      <c r="E224" s="5"/>
      <c r="F224" s="5"/>
    </row>
    <row r="225" spans="2:6" ht="13">
      <c r="B225" s="5"/>
      <c r="C225" s="5"/>
      <c r="D225" s="5"/>
      <c r="E225" s="5"/>
      <c r="F225" s="5"/>
    </row>
    <row r="226" spans="2:6" ht="13">
      <c r="B226" s="5"/>
      <c r="C226" s="5"/>
      <c r="D226" s="5"/>
      <c r="E226" s="5"/>
      <c r="F226" s="5"/>
    </row>
    <row r="227" spans="2:6" ht="13">
      <c r="B227" s="5"/>
      <c r="C227" s="5"/>
      <c r="D227" s="5"/>
      <c r="E227" s="5"/>
      <c r="F227" s="5"/>
    </row>
    <row r="228" spans="2:6" ht="13">
      <c r="B228" s="5"/>
      <c r="C228" s="5"/>
      <c r="D228" s="5"/>
      <c r="E228" s="5"/>
      <c r="F228" s="5"/>
    </row>
    <row r="229" spans="2:6" ht="13">
      <c r="B229" s="5"/>
      <c r="C229" s="5"/>
      <c r="D229" s="5"/>
      <c r="E229" s="5"/>
      <c r="F229" s="5"/>
    </row>
    <row r="230" spans="2:6" ht="13">
      <c r="B230" s="5"/>
      <c r="C230" s="5"/>
      <c r="D230" s="5"/>
      <c r="E230" s="5"/>
      <c r="F230" s="5"/>
    </row>
    <row r="231" spans="2:6" ht="13">
      <c r="B231" s="5"/>
      <c r="C231" s="5"/>
      <c r="D231" s="5"/>
      <c r="E231" s="5"/>
      <c r="F231" s="5"/>
    </row>
    <row r="232" spans="2:6" ht="13">
      <c r="B232" s="5"/>
      <c r="C232" s="5"/>
      <c r="D232" s="5"/>
      <c r="E232" s="5"/>
      <c r="F232" s="5"/>
    </row>
    <row r="233" spans="2:6" ht="13">
      <c r="B233" s="5"/>
      <c r="C233" s="5"/>
      <c r="D233" s="5"/>
      <c r="E233" s="5"/>
      <c r="F233" s="5"/>
    </row>
    <row r="234" spans="2:6" ht="13">
      <c r="B234" s="5"/>
      <c r="C234" s="5"/>
      <c r="D234" s="5"/>
      <c r="E234" s="5"/>
      <c r="F234" s="5"/>
    </row>
    <row r="235" spans="2:6" ht="13">
      <c r="B235" s="5"/>
      <c r="C235" s="5"/>
      <c r="D235" s="5"/>
      <c r="E235" s="5"/>
      <c r="F235" s="5"/>
    </row>
    <row r="236" spans="2:6" ht="13">
      <c r="B236" s="5"/>
      <c r="C236" s="5"/>
      <c r="D236" s="5"/>
      <c r="E236" s="5"/>
      <c r="F236" s="5"/>
    </row>
    <row r="237" spans="2:6" ht="13">
      <c r="B237" s="5"/>
      <c r="C237" s="5"/>
      <c r="D237" s="5"/>
      <c r="E237" s="5"/>
      <c r="F237" s="5"/>
    </row>
    <row r="238" spans="2:6" ht="13">
      <c r="B238" s="5"/>
      <c r="C238" s="5"/>
      <c r="D238" s="5"/>
      <c r="E238" s="5"/>
      <c r="F238" s="5"/>
    </row>
    <row r="239" spans="2:6" ht="13">
      <c r="B239" s="5"/>
      <c r="C239" s="5"/>
      <c r="D239" s="5"/>
      <c r="E239" s="5"/>
      <c r="F239" s="5"/>
    </row>
    <row r="240" spans="2:6" ht="13">
      <c r="B240" s="5"/>
      <c r="C240" s="5"/>
      <c r="D240" s="5"/>
      <c r="E240" s="5"/>
      <c r="F240" s="5"/>
    </row>
    <row r="241" spans="2:6" ht="13">
      <c r="B241" s="5"/>
      <c r="C241" s="5"/>
      <c r="D241" s="5"/>
      <c r="E241" s="5"/>
      <c r="F241" s="5"/>
    </row>
    <row r="242" spans="2:6" ht="13">
      <c r="B242" s="5"/>
      <c r="C242" s="5"/>
      <c r="D242" s="5"/>
      <c r="E242" s="5"/>
      <c r="F242" s="5"/>
    </row>
    <row r="243" spans="2:6" ht="13">
      <c r="B243" s="5"/>
      <c r="C243" s="5"/>
      <c r="D243" s="5"/>
      <c r="E243" s="5"/>
      <c r="F243" s="5"/>
    </row>
    <row r="244" spans="2:6" ht="13">
      <c r="B244" s="5"/>
      <c r="C244" s="5"/>
      <c r="D244" s="5"/>
      <c r="E244" s="5"/>
      <c r="F244" s="5"/>
    </row>
    <row r="245" spans="2:6" ht="13">
      <c r="B245" s="5"/>
      <c r="C245" s="5"/>
      <c r="D245" s="5"/>
      <c r="E245" s="5"/>
      <c r="F245" s="5"/>
    </row>
    <row r="246" spans="2:6" ht="13">
      <c r="B246" s="5"/>
      <c r="C246" s="5"/>
      <c r="D246" s="5"/>
      <c r="E246" s="5"/>
      <c r="F246" s="5"/>
    </row>
    <row r="247" spans="2:6" ht="13">
      <c r="B247" s="5"/>
      <c r="C247" s="5"/>
      <c r="D247" s="5"/>
      <c r="E247" s="5"/>
      <c r="F247" s="5"/>
    </row>
    <row r="248" spans="2:6" ht="13">
      <c r="B248" s="5"/>
      <c r="C248" s="5"/>
      <c r="D248" s="5"/>
      <c r="E248" s="5"/>
      <c r="F248" s="5"/>
    </row>
    <row r="249" spans="2:6" ht="13">
      <c r="B249" s="5"/>
      <c r="C249" s="5"/>
      <c r="D249" s="5"/>
      <c r="E249" s="5"/>
      <c r="F249" s="5"/>
    </row>
    <row r="250" spans="2:6" ht="13">
      <c r="B250" s="5"/>
      <c r="C250" s="5"/>
      <c r="D250" s="5"/>
      <c r="E250" s="5"/>
      <c r="F250" s="5"/>
    </row>
    <row r="251" spans="2:6" ht="13">
      <c r="B251" s="5"/>
      <c r="C251" s="5"/>
      <c r="D251" s="5"/>
      <c r="E251" s="5"/>
      <c r="F251" s="5"/>
    </row>
    <row r="252" spans="2:6" ht="13">
      <c r="B252" s="5"/>
      <c r="C252" s="5"/>
      <c r="D252" s="5"/>
      <c r="E252" s="5"/>
      <c r="F252" s="5"/>
    </row>
    <row r="253" spans="2:6" ht="13">
      <c r="B253" s="5"/>
      <c r="C253" s="5"/>
      <c r="D253" s="5"/>
      <c r="E253" s="5"/>
      <c r="F253" s="5"/>
    </row>
    <row r="254" spans="2:6" ht="13">
      <c r="B254" s="5"/>
      <c r="C254" s="5"/>
      <c r="D254" s="5"/>
      <c r="E254" s="5"/>
      <c r="F254" s="5"/>
    </row>
    <row r="255" spans="2:6" ht="13">
      <c r="B255" s="5"/>
      <c r="C255" s="5"/>
      <c r="D255" s="5"/>
      <c r="E255" s="5"/>
      <c r="F255" s="5"/>
    </row>
    <row r="256" spans="2:6" ht="13">
      <c r="B256" s="5"/>
      <c r="C256" s="5"/>
      <c r="D256" s="5"/>
      <c r="E256" s="5"/>
      <c r="F256" s="5"/>
    </row>
    <row r="257" spans="2:6" ht="13">
      <c r="B257" s="5"/>
      <c r="C257" s="5"/>
      <c r="D257" s="5"/>
      <c r="E257" s="5"/>
      <c r="F257" s="5"/>
    </row>
    <row r="258" spans="2:6" ht="13">
      <c r="B258" s="5"/>
      <c r="C258" s="5"/>
      <c r="D258" s="5"/>
      <c r="E258" s="5"/>
      <c r="F258" s="5"/>
    </row>
    <row r="259" spans="2:6" ht="13">
      <c r="B259" s="5"/>
      <c r="C259" s="5"/>
      <c r="D259" s="5"/>
      <c r="E259" s="5"/>
      <c r="F259" s="5"/>
    </row>
    <row r="260" spans="2:6" ht="13">
      <c r="B260" s="5"/>
      <c r="C260" s="5"/>
      <c r="D260" s="5"/>
      <c r="E260" s="5"/>
      <c r="F260" s="5"/>
    </row>
    <row r="261" spans="2:6" ht="13">
      <c r="B261" s="5"/>
      <c r="C261" s="5"/>
      <c r="D261" s="5"/>
      <c r="E261" s="5"/>
      <c r="F261" s="5"/>
    </row>
    <row r="262" spans="2:6" ht="13">
      <c r="B262" s="5"/>
      <c r="C262" s="5"/>
      <c r="D262" s="5"/>
      <c r="E262" s="5"/>
      <c r="F262" s="5"/>
    </row>
    <row r="263" spans="2:6" ht="13">
      <c r="B263" s="5"/>
      <c r="C263" s="5"/>
      <c r="D263" s="5"/>
      <c r="E263" s="5"/>
      <c r="F263" s="5"/>
    </row>
    <row r="264" spans="2:6" ht="13">
      <c r="B264" s="5"/>
      <c r="C264" s="5"/>
      <c r="D264" s="5"/>
      <c r="E264" s="5"/>
      <c r="F264" s="5"/>
    </row>
    <row r="265" spans="2:6" ht="13">
      <c r="B265" s="5"/>
      <c r="C265" s="5"/>
      <c r="D265" s="5"/>
      <c r="E265" s="5"/>
      <c r="F265" s="5"/>
    </row>
    <row r="266" spans="2:6" ht="13">
      <c r="B266" s="5"/>
      <c r="C266" s="5"/>
      <c r="D266" s="5"/>
      <c r="E266" s="5"/>
      <c r="F266" s="5"/>
    </row>
    <row r="267" spans="2:6" ht="13">
      <c r="B267" s="5"/>
      <c r="C267" s="5"/>
      <c r="D267" s="5"/>
      <c r="E267" s="5"/>
      <c r="F267" s="5"/>
    </row>
    <row r="268" spans="2:6" ht="13">
      <c r="B268" s="5"/>
      <c r="C268" s="5"/>
      <c r="D268" s="5"/>
      <c r="E268" s="5"/>
      <c r="F268" s="5"/>
    </row>
    <row r="269" spans="2:6" ht="13">
      <c r="B269" s="5"/>
      <c r="C269" s="5"/>
      <c r="D269" s="5"/>
      <c r="E269" s="5"/>
      <c r="F269" s="5"/>
    </row>
    <row r="270" spans="2:6" ht="13">
      <c r="B270" s="5"/>
      <c r="C270" s="5"/>
      <c r="D270" s="5"/>
      <c r="E270" s="5"/>
      <c r="F270" s="5"/>
    </row>
    <row r="271" spans="2:6" ht="13">
      <c r="B271" s="5"/>
      <c r="C271" s="5"/>
      <c r="D271" s="5"/>
      <c r="E271" s="5"/>
      <c r="F271" s="5"/>
    </row>
    <row r="272" spans="2:6" ht="13">
      <c r="B272" s="5"/>
      <c r="C272" s="5"/>
      <c r="D272" s="5"/>
      <c r="E272" s="5"/>
      <c r="F272" s="5"/>
    </row>
    <row r="273" spans="2:6" ht="13">
      <c r="B273" s="5"/>
      <c r="C273" s="5"/>
      <c r="D273" s="5"/>
      <c r="E273" s="5"/>
      <c r="F273" s="5"/>
    </row>
    <row r="274" spans="2:6" ht="13">
      <c r="B274" s="5"/>
      <c r="C274" s="5"/>
      <c r="D274" s="5"/>
      <c r="E274" s="5"/>
      <c r="F274" s="5"/>
    </row>
    <row r="275" spans="2:6" ht="13">
      <c r="B275" s="5"/>
      <c r="C275" s="5"/>
      <c r="D275" s="5"/>
      <c r="E275" s="5"/>
      <c r="F275" s="5"/>
    </row>
    <row r="276" spans="2:6" ht="13">
      <c r="B276" s="5"/>
      <c r="C276" s="5"/>
      <c r="D276" s="5"/>
      <c r="E276" s="5"/>
      <c r="F276" s="5"/>
    </row>
    <row r="277" spans="2:6" ht="13">
      <c r="B277" s="5"/>
      <c r="C277" s="5"/>
      <c r="D277" s="5"/>
      <c r="E277" s="5"/>
      <c r="F277" s="5"/>
    </row>
    <row r="278" spans="2:6" ht="13">
      <c r="B278" s="5"/>
      <c r="C278" s="5"/>
      <c r="D278" s="5"/>
      <c r="E278" s="5"/>
      <c r="F278" s="5"/>
    </row>
    <row r="279" spans="2:6" ht="13">
      <c r="B279" s="5"/>
      <c r="C279" s="5"/>
      <c r="D279" s="5"/>
      <c r="E279" s="5"/>
      <c r="F279" s="5"/>
    </row>
    <row r="280" spans="2:6" ht="13">
      <c r="B280" s="5"/>
      <c r="C280" s="5"/>
      <c r="D280" s="5"/>
      <c r="E280" s="5"/>
      <c r="F280" s="5"/>
    </row>
    <row r="281" spans="2:6" ht="13">
      <c r="B281" s="5"/>
      <c r="C281" s="5"/>
      <c r="D281" s="5"/>
      <c r="E281" s="5"/>
      <c r="F281" s="5"/>
    </row>
    <row r="282" spans="2:6" ht="13">
      <c r="B282" s="5"/>
      <c r="C282" s="5"/>
      <c r="D282" s="5"/>
      <c r="E282" s="5"/>
      <c r="F282" s="5"/>
    </row>
    <row r="283" spans="2:6" ht="13">
      <c r="B283" s="5"/>
      <c r="C283" s="5"/>
      <c r="D283" s="5"/>
      <c r="E283" s="5"/>
      <c r="F283" s="5"/>
    </row>
    <row r="284" spans="2:6" ht="13">
      <c r="B284" s="5"/>
      <c r="C284" s="5"/>
      <c r="D284" s="5"/>
      <c r="E284" s="5"/>
      <c r="F284" s="5"/>
    </row>
    <row r="285" spans="2:6" ht="13">
      <c r="B285" s="5"/>
      <c r="C285" s="5"/>
      <c r="D285" s="5"/>
      <c r="E285" s="5"/>
      <c r="F285" s="5"/>
    </row>
    <row r="286" spans="2:6" ht="13">
      <c r="B286" s="5"/>
      <c r="C286" s="5"/>
      <c r="D286" s="5"/>
      <c r="E286" s="5"/>
      <c r="F286" s="5"/>
    </row>
    <row r="287" spans="2:6" ht="13">
      <c r="B287" s="5"/>
      <c r="C287" s="5"/>
      <c r="D287" s="5"/>
      <c r="E287" s="5"/>
      <c r="F287" s="5"/>
    </row>
    <row r="288" spans="2:6" ht="13">
      <c r="B288" s="5"/>
      <c r="C288" s="5"/>
      <c r="D288" s="5"/>
      <c r="E288" s="5"/>
      <c r="F288" s="5"/>
    </row>
    <row r="289" spans="2:6" ht="13">
      <c r="B289" s="5"/>
      <c r="C289" s="5"/>
      <c r="D289" s="5"/>
      <c r="E289" s="5"/>
      <c r="F289" s="5"/>
    </row>
    <row r="290" spans="2:6" ht="13">
      <c r="B290" s="5"/>
      <c r="C290" s="5"/>
      <c r="D290" s="5"/>
      <c r="E290" s="5"/>
      <c r="F290" s="5"/>
    </row>
    <row r="291" spans="2:6" ht="13">
      <c r="B291" s="5"/>
      <c r="C291" s="5"/>
      <c r="D291" s="5"/>
      <c r="E291" s="5"/>
      <c r="F291" s="5"/>
    </row>
    <row r="292" spans="2:6" ht="13">
      <c r="B292" s="5"/>
      <c r="C292" s="5"/>
      <c r="D292" s="5"/>
      <c r="E292" s="5"/>
      <c r="F292" s="5"/>
    </row>
    <row r="293" spans="2:6" ht="13">
      <c r="B293" s="5"/>
      <c r="C293" s="5"/>
      <c r="D293" s="5"/>
      <c r="E293" s="5"/>
      <c r="F293" s="5"/>
    </row>
    <row r="294" spans="2:6" ht="13">
      <c r="B294" s="5"/>
      <c r="C294" s="5"/>
      <c r="D294" s="5"/>
      <c r="E294" s="5"/>
      <c r="F294" s="5"/>
    </row>
    <row r="295" spans="2:6" ht="13">
      <c r="B295" s="5"/>
      <c r="C295" s="5"/>
      <c r="D295" s="5"/>
      <c r="E295" s="5"/>
      <c r="F295" s="5"/>
    </row>
    <row r="296" spans="2:6" ht="13">
      <c r="B296" s="5"/>
      <c r="C296" s="5"/>
      <c r="D296" s="5"/>
      <c r="E296" s="5"/>
      <c r="F296" s="5"/>
    </row>
    <row r="297" spans="2:6" ht="13">
      <c r="B297" s="5"/>
      <c r="C297" s="5"/>
      <c r="D297" s="5"/>
      <c r="E297" s="5"/>
      <c r="F297" s="5"/>
    </row>
    <row r="298" spans="2:6" ht="13">
      <c r="B298" s="5"/>
      <c r="C298" s="5"/>
      <c r="D298" s="5"/>
      <c r="E298" s="5"/>
      <c r="F298" s="5"/>
    </row>
    <row r="299" spans="2:6" ht="13">
      <c r="B299" s="5"/>
      <c r="C299" s="5"/>
      <c r="D299" s="5"/>
      <c r="E299" s="5"/>
      <c r="F299" s="5"/>
    </row>
    <row r="300" spans="2:6" ht="13">
      <c r="B300" s="5"/>
      <c r="C300" s="5"/>
      <c r="D300" s="5"/>
      <c r="E300" s="5"/>
      <c r="F300" s="5"/>
    </row>
    <row r="301" spans="2:6" ht="13">
      <c r="B301" s="5"/>
      <c r="C301" s="5"/>
      <c r="D301" s="5"/>
      <c r="E301" s="5"/>
      <c r="F301" s="5"/>
    </row>
    <row r="302" spans="2:6" ht="13">
      <c r="B302" s="5"/>
      <c r="C302" s="5"/>
      <c r="D302" s="5"/>
      <c r="E302" s="5"/>
      <c r="F302" s="5"/>
    </row>
    <row r="303" spans="2:6" ht="13">
      <c r="B303" s="5"/>
      <c r="C303" s="5"/>
      <c r="D303" s="5"/>
      <c r="E303" s="5"/>
      <c r="F303" s="5"/>
    </row>
    <row r="304" spans="2:6" ht="13">
      <c r="B304" s="5"/>
      <c r="C304" s="5"/>
      <c r="D304" s="5"/>
      <c r="E304" s="5"/>
      <c r="F304" s="5"/>
    </row>
    <row r="305" spans="2:6" ht="13">
      <c r="B305" s="5"/>
      <c r="C305" s="5"/>
      <c r="D305" s="5"/>
      <c r="E305" s="5"/>
      <c r="F305" s="5"/>
    </row>
    <row r="306" spans="2:6" ht="13">
      <c r="B306" s="5"/>
      <c r="C306" s="5"/>
      <c r="D306" s="5"/>
      <c r="E306" s="5"/>
      <c r="F306" s="5"/>
    </row>
    <row r="307" spans="2:6" ht="13">
      <c r="B307" s="5"/>
      <c r="C307" s="5"/>
      <c r="D307" s="5"/>
      <c r="E307" s="5"/>
      <c r="F307" s="5"/>
    </row>
    <row r="308" spans="2:6" ht="13">
      <c r="B308" s="5"/>
      <c r="C308" s="5"/>
      <c r="D308" s="5"/>
      <c r="E308" s="5"/>
      <c r="F308" s="5"/>
    </row>
    <row r="309" spans="2:6" ht="13">
      <c r="B309" s="5"/>
      <c r="C309" s="5"/>
      <c r="D309" s="5"/>
      <c r="E309" s="5"/>
      <c r="F309" s="5"/>
    </row>
    <row r="310" spans="2:6" ht="13">
      <c r="B310" s="5"/>
      <c r="C310" s="5"/>
      <c r="D310" s="5"/>
      <c r="E310" s="5"/>
      <c r="F310" s="5"/>
    </row>
    <row r="311" spans="2:6" ht="13">
      <c r="B311" s="5"/>
      <c r="C311" s="5"/>
      <c r="D311" s="5"/>
      <c r="E311" s="5"/>
      <c r="F311" s="5"/>
    </row>
    <row r="312" spans="2:6" ht="13">
      <c r="B312" s="5"/>
      <c r="C312" s="5"/>
      <c r="D312" s="5"/>
      <c r="E312" s="5"/>
      <c r="F312" s="5"/>
    </row>
    <row r="313" spans="2:6" ht="13">
      <c r="B313" s="5"/>
      <c r="C313" s="5"/>
      <c r="D313" s="5"/>
      <c r="E313" s="5"/>
      <c r="F313" s="5"/>
    </row>
    <row r="314" spans="2:6" ht="13">
      <c r="B314" s="5"/>
      <c r="C314" s="5"/>
      <c r="D314" s="5"/>
      <c r="E314" s="5"/>
      <c r="F314" s="5"/>
    </row>
    <row r="315" spans="2:6" ht="13">
      <c r="B315" s="5"/>
      <c r="C315" s="5"/>
      <c r="D315" s="5"/>
      <c r="E315" s="5"/>
      <c r="F315" s="5"/>
    </row>
    <row r="316" spans="2:6" ht="13">
      <c r="B316" s="5"/>
      <c r="C316" s="5"/>
      <c r="D316" s="5"/>
      <c r="E316" s="5"/>
      <c r="F316" s="5"/>
    </row>
    <row r="317" spans="2:6" ht="13">
      <c r="B317" s="5"/>
      <c r="C317" s="5"/>
      <c r="D317" s="5"/>
      <c r="E317" s="5"/>
      <c r="F317" s="5"/>
    </row>
    <row r="318" spans="2:6" ht="13">
      <c r="B318" s="5"/>
      <c r="C318" s="5"/>
      <c r="D318" s="5"/>
      <c r="E318" s="5"/>
      <c r="F318" s="5"/>
    </row>
    <row r="319" spans="2:6" ht="13">
      <c r="B319" s="5"/>
      <c r="C319" s="5"/>
      <c r="D319" s="5"/>
      <c r="E319" s="5"/>
      <c r="F319" s="5"/>
    </row>
    <row r="320" spans="2:6" ht="13">
      <c r="B320" s="5"/>
      <c r="C320" s="5"/>
      <c r="D320" s="5"/>
      <c r="E320" s="5"/>
      <c r="F320" s="5"/>
    </row>
    <row r="321" spans="2:6" ht="13">
      <c r="B321" s="5"/>
      <c r="C321" s="5"/>
      <c r="D321" s="5"/>
      <c r="E321" s="5"/>
      <c r="F321" s="5"/>
    </row>
    <row r="322" spans="2:6" ht="13">
      <c r="B322" s="5"/>
      <c r="C322" s="5"/>
      <c r="D322" s="5"/>
      <c r="E322" s="5"/>
      <c r="F322" s="5"/>
    </row>
    <row r="323" spans="2:6" ht="13">
      <c r="B323" s="5"/>
      <c r="C323" s="5"/>
      <c r="D323" s="5"/>
      <c r="E323" s="5"/>
      <c r="F323" s="5"/>
    </row>
    <row r="324" spans="2:6" ht="13">
      <c r="B324" s="5"/>
      <c r="C324" s="5"/>
      <c r="D324" s="5"/>
      <c r="E324" s="5"/>
      <c r="F324" s="5"/>
    </row>
    <row r="325" spans="2:6" ht="13">
      <c r="B325" s="5"/>
      <c r="C325" s="5"/>
      <c r="D325" s="5"/>
      <c r="E325" s="5"/>
      <c r="F325" s="5"/>
    </row>
    <row r="326" spans="2:6" ht="13">
      <c r="B326" s="5"/>
      <c r="C326" s="5"/>
      <c r="D326" s="5"/>
      <c r="E326" s="5"/>
      <c r="F326" s="5"/>
    </row>
    <row r="327" spans="2:6" ht="13">
      <c r="B327" s="5"/>
      <c r="C327" s="5"/>
      <c r="D327" s="5"/>
      <c r="E327" s="5"/>
      <c r="F327" s="5"/>
    </row>
    <row r="328" spans="2:6" ht="13">
      <c r="B328" s="5"/>
      <c r="C328" s="5"/>
      <c r="D328" s="5"/>
      <c r="E328" s="5"/>
      <c r="F328" s="5"/>
    </row>
    <row r="329" spans="2:6" ht="13">
      <c r="B329" s="5"/>
      <c r="C329" s="5"/>
      <c r="D329" s="5"/>
      <c r="E329" s="5"/>
      <c r="F329" s="5"/>
    </row>
    <row r="330" spans="2:6" ht="13">
      <c r="B330" s="5"/>
      <c r="C330" s="5"/>
      <c r="D330" s="5"/>
      <c r="E330" s="5"/>
      <c r="F330" s="5"/>
    </row>
    <row r="331" spans="2:6" ht="13">
      <c r="B331" s="5"/>
      <c r="C331" s="5"/>
      <c r="D331" s="5"/>
      <c r="E331" s="5"/>
      <c r="F331" s="5"/>
    </row>
    <row r="332" spans="2:6" ht="13">
      <c r="B332" s="5"/>
      <c r="C332" s="5"/>
      <c r="D332" s="5"/>
      <c r="E332" s="5"/>
      <c r="F332" s="5"/>
    </row>
    <row r="333" spans="2:6" ht="13">
      <c r="B333" s="5"/>
      <c r="C333" s="5"/>
      <c r="D333" s="5"/>
      <c r="E333" s="5"/>
      <c r="F333" s="5"/>
    </row>
    <row r="334" spans="2:6" ht="13">
      <c r="B334" s="5"/>
      <c r="C334" s="5"/>
      <c r="D334" s="5"/>
      <c r="E334" s="5"/>
      <c r="F334" s="5"/>
    </row>
    <row r="335" spans="2:6" ht="13">
      <c r="B335" s="5"/>
      <c r="C335" s="5"/>
      <c r="D335" s="5"/>
      <c r="E335" s="5"/>
      <c r="F335" s="5"/>
    </row>
    <row r="336" spans="2:6" ht="13">
      <c r="B336" s="5"/>
      <c r="C336" s="5"/>
      <c r="D336" s="5"/>
      <c r="E336" s="5"/>
      <c r="F336" s="5"/>
    </row>
    <row r="337" spans="2:6" ht="13">
      <c r="B337" s="5"/>
      <c r="C337" s="5"/>
      <c r="D337" s="5"/>
      <c r="E337" s="5"/>
      <c r="F337" s="5"/>
    </row>
    <row r="338" spans="2:6" ht="13">
      <c r="B338" s="5"/>
      <c r="C338" s="5"/>
      <c r="D338" s="5"/>
      <c r="E338" s="5"/>
      <c r="F338" s="5"/>
    </row>
    <row r="339" spans="2:6" ht="13">
      <c r="B339" s="5"/>
      <c r="C339" s="5"/>
      <c r="D339" s="5"/>
      <c r="E339" s="5"/>
      <c r="F339" s="5"/>
    </row>
    <row r="340" spans="2:6" ht="13">
      <c r="B340" s="5"/>
      <c r="C340" s="5"/>
      <c r="D340" s="5"/>
      <c r="E340" s="5"/>
      <c r="F340" s="5"/>
    </row>
    <row r="341" spans="2:6" ht="13">
      <c r="B341" s="5"/>
      <c r="C341" s="5"/>
      <c r="D341" s="5"/>
      <c r="E341" s="5"/>
      <c r="F341" s="5"/>
    </row>
    <row r="342" spans="2:6" ht="13">
      <c r="B342" s="5"/>
      <c r="C342" s="5"/>
      <c r="D342" s="5"/>
      <c r="E342" s="5"/>
      <c r="F342" s="5"/>
    </row>
    <row r="343" spans="2:6" ht="13">
      <c r="B343" s="5"/>
      <c r="C343" s="5"/>
      <c r="D343" s="5"/>
      <c r="E343" s="5"/>
      <c r="F343" s="5"/>
    </row>
    <row r="344" spans="2:6" ht="13">
      <c r="B344" s="5"/>
      <c r="C344" s="5"/>
      <c r="D344" s="5"/>
      <c r="E344" s="5"/>
      <c r="F344" s="5"/>
    </row>
    <row r="345" spans="2:6" ht="13">
      <c r="B345" s="5"/>
      <c r="C345" s="5"/>
      <c r="D345" s="5"/>
      <c r="E345" s="5"/>
      <c r="F345" s="5"/>
    </row>
    <row r="346" spans="2:6" ht="13">
      <c r="B346" s="5"/>
      <c r="C346" s="5"/>
      <c r="D346" s="5"/>
      <c r="E346" s="5"/>
      <c r="F346" s="5"/>
    </row>
    <row r="347" spans="2:6" ht="13">
      <c r="B347" s="5"/>
      <c r="C347" s="5"/>
      <c r="D347" s="5"/>
      <c r="E347" s="5"/>
      <c r="F347" s="5"/>
    </row>
    <row r="348" spans="2:6" ht="13">
      <c r="B348" s="5"/>
      <c r="C348" s="5"/>
      <c r="D348" s="5"/>
      <c r="E348" s="5"/>
      <c r="F348" s="5"/>
    </row>
    <row r="349" spans="2:6" ht="13">
      <c r="B349" s="5"/>
      <c r="C349" s="5"/>
      <c r="D349" s="5"/>
      <c r="E349" s="5"/>
      <c r="F349" s="5"/>
    </row>
    <row r="350" spans="2:6" ht="13">
      <c r="B350" s="5"/>
      <c r="C350" s="5"/>
      <c r="D350" s="5"/>
      <c r="E350" s="5"/>
      <c r="F350" s="5"/>
    </row>
    <row r="351" spans="2:6" ht="13">
      <c r="B351" s="5"/>
      <c r="C351" s="5"/>
      <c r="D351" s="5"/>
      <c r="E351" s="5"/>
      <c r="F351" s="5"/>
    </row>
    <row r="352" spans="2:6" ht="13">
      <c r="B352" s="5"/>
      <c r="C352" s="5"/>
      <c r="D352" s="5"/>
      <c r="E352" s="5"/>
      <c r="F352" s="5"/>
    </row>
    <row r="353" spans="2:6" ht="13">
      <c r="B353" s="5"/>
      <c r="C353" s="5"/>
      <c r="D353" s="5"/>
      <c r="E353" s="5"/>
      <c r="F353" s="5"/>
    </row>
    <row r="354" spans="2:6" ht="13">
      <c r="B354" s="5"/>
      <c r="C354" s="5"/>
      <c r="D354" s="5"/>
      <c r="E354" s="5"/>
      <c r="F354" s="5"/>
    </row>
    <row r="355" spans="2:6" ht="13">
      <c r="B355" s="5"/>
      <c r="C355" s="5"/>
      <c r="D355" s="5"/>
      <c r="E355" s="5"/>
      <c r="F355" s="5"/>
    </row>
    <row r="356" spans="2:6" ht="13">
      <c r="B356" s="5"/>
      <c r="C356" s="5"/>
      <c r="D356" s="5"/>
      <c r="E356" s="5"/>
      <c r="F356" s="5"/>
    </row>
    <row r="357" spans="2:6" ht="13">
      <c r="B357" s="5"/>
      <c r="C357" s="5"/>
      <c r="D357" s="5"/>
      <c r="E357" s="5"/>
      <c r="F357" s="5"/>
    </row>
    <row r="358" spans="2:6" ht="13">
      <c r="B358" s="5"/>
      <c r="C358" s="5"/>
      <c r="D358" s="5"/>
      <c r="E358" s="5"/>
      <c r="F358" s="5"/>
    </row>
    <row r="359" spans="2:6" ht="13">
      <c r="B359" s="5"/>
      <c r="C359" s="5"/>
      <c r="D359" s="5"/>
      <c r="E359" s="5"/>
      <c r="F359" s="5"/>
    </row>
    <row r="360" spans="2:6" ht="13">
      <c r="B360" s="5"/>
      <c r="C360" s="5"/>
      <c r="D360" s="5"/>
      <c r="E360" s="5"/>
      <c r="F360" s="5"/>
    </row>
    <row r="361" spans="2:6" ht="13">
      <c r="B361" s="5"/>
      <c r="C361" s="5"/>
      <c r="D361" s="5"/>
      <c r="E361" s="5"/>
      <c r="F361" s="5"/>
    </row>
    <row r="362" spans="2:6" ht="13">
      <c r="B362" s="5"/>
      <c r="C362" s="5"/>
      <c r="D362" s="5"/>
      <c r="E362" s="5"/>
      <c r="F362" s="5"/>
    </row>
    <row r="363" spans="2:6" ht="13">
      <c r="B363" s="5"/>
      <c r="C363" s="5"/>
      <c r="D363" s="5"/>
      <c r="E363" s="5"/>
      <c r="F363" s="5"/>
    </row>
    <row r="364" spans="2:6" ht="13">
      <c r="B364" s="5"/>
      <c r="C364" s="5"/>
      <c r="D364" s="5"/>
      <c r="E364" s="5"/>
      <c r="F364" s="5"/>
    </row>
    <row r="365" spans="2:6" ht="13">
      <c r="B365" s="5"/>
      <c r="C365" s="5"/>
      <c r="D365" s="5"/>
      <c r="E365" s="5"/>
      <c r="F365" s="5"/>
    </row>
    <row r="366" spans="2:6" ht="13">
      <c r="B366" s="5"/>
      <c r="C366" s="5"/>
      <c r="D366" s="5"/>
      <c r="E366" s="5"/>
      <c r="F366" s="5"/>
    </row>
    <row r="367" spans="2:6" ht="13">
      <c r="B367" s="5"/>
      <c r="C367" s="5"/>
      <c r="D367" s="5"/>
      <c r="E367" s="5"/>
      <c r="F367" s="5"/>
    </row>
    <row r="368" spans="2:6" ht="13">
      <c r="B368" s="5"/>
      <c r="C368" s="5"/>
      <c r="D368" s="5"/>
      <c r="E368" s="5"/>
      <c r="F368" s="5"/>
    </row>
    <row r="369" spans="2:6" ht="13">
      <c r="B369" s="5"/>
      <c r="C369" s="5"/>
      <c r="D369" s="5"/>
      <c r="E369" s="5"/>
      <c r="F369" s="5"/>
    </row>
    <row r="370" spans="2:6" ht="13">
      <c r="B370" s="5"/>
      <c r="C370" s="5"/>
      <c r="D370" s="5"/>
      <c r="E370" s="5"/>
      <c r="F370" s="5"/>
    </row>
    <row r="371" spans="2:6" ht="13">
      <c r="B371" s="5"/>
      <c r="C371" s="5"/>
      <c r="D371" s="5"/>
      <c r="E371" s="5"/>
      <c r="F371" s="5"/>
    </row>
    <row r="372" spans="2:6" ht="13">
      <c r="B372" s="5"/>
      <c r="C372" s="5"/>
      <c r="D372" s="5"/>
      <c r="E372" s="5"/>
      <c r="F372" s="5"/>
    </row>
    <row r="373" spans="2:6" ht="13">
      <c r="B373" s="5"/>
      <c r="C373" s="5"/>
      <c r="D373" s="5"/>
      <c r="E373" s="5"/>
      <c r="F373" s="5"/>
    </row>
    <row r="374" spans="2:6" ht="13">
      <c r="B374" s="5"/>
      <c r="C374" s="5"/>
      <c r="D374" s="5"/>
      <c r="E374" s="5"/>
      <c r="F374" s="5"/>
    </row>
    <row r="375" spans="2:6" ht="13">
      <c r="B375" s="5"/>
      <c r="C375" s="5"/>
      <c r="D375" s="5"/>
      <c r="E375" s="5"/>
      <c r="F375" s="5"/>
    </row>
    <row r="376" spans="2:6" ht="13">
      <c r="B376" s="5"/>
      <c r="C376" s="5"/>
      <c r="D376" s="5"/>
      <c r="E376" s="5"/>
      <c r="F376" s="5"/>
    </row>
    <row r="377" spans="2:6" ht="13">
      <c r="B377" s="5"/>
      <c r="C377" s="5"/>
      <c r="D377" s="5"/>
      <c r="E377" s="5"/>
      <c r="F377" s="5"/>
    </row>
    <row r="378" spans="2:6" ht="13">
      <c r="B378" s="5"/>
      <c r="C378" s="5"/>
      <c r="D378" s="5"/>
      <c r="E378" s="5"/>
      <c r="F378" s="5"/>
    </row>
    <row r="379" spans="2:6" ht="13">
      <c r="B379" s="5"/>
      <c r="C379" s="5"/>
      <c r="D379" s="5"/>
      <c r="E379" s="5"/>
      <c r="F379" s="5"/>
    </row>
    <row r="380" spans="2:6" ht="13">
      <c r="B380" s="5"/>
      <c r="C380" s="5"/>
      <c r="D380" s="5"/>
      <c r="E380" s="5"/>
      <c r="F380" s="5"/>
    </row>
    <row r="381" spans="2:6" ht="13">
      <c r="B381" s="5"/>
      <c r="C381" s="5"/>
      <c r="D381" s="5"/>
      <c r="E381" s="5"/>
      <c r="F381" s="5"/>
    </row>
    <row r="382" spans="2:6" ht="13">
      <c r="B382" s="5"/>
      <c r="C382" s="5"/>
      <c r="D382" s="5"/>
      <c r="E382" s="5"/>
      <c r="F382" s="5"/>
    </row>
    <row r="383" spans="2:6" ht="13">
      <c r="B383" s="5"/>
      <c r="C383" s="5"/>
      <c r="D383" s="5"/>
      <c r="E383" s="5"/>
      <c r="F383" s="5"/>
    </row>
    <row r="384" spans="2:6" ht="13">
      <c r="B384" s="5"/>
      <c r="C384" s="5"/>
      <c r="D384" s="5"/>
      <c r="E384" s="5"/>
      <c r="F384" s="5"/>
    </row>
    <row r="385" spans="2:6" ht="13">
      <c r="B385" s="5"/>
      <c r="C385" s="5"/>
      <c r="D385" s="5"/>
      <c r="E385" s="5"/>
      <c r="F385" s="5"/>
    </row>
    <row r="386" spans="2:6" ht="13">
      <c r="B386" s="5"/>
      <c r="C386" s="5"/>
      <c r="D386" s="5"/>
      <c r="E386" s="5"/>
      <c r="F386" s="5"/>
    </row>
    <row r="387" spans="2:6" ht="13">
      <c r="B387" s="5"/>
      <c r="C387" s="5"/>
      <c r="D387" s="5"/>
      <c r="E387" s="5"/>
      <c r="F387" s="5"/>
    </row>
    <row r="388" spans="2:6" ht="13">
      <c r="B388" s="5"/>
      <c r="C388" s="5"/>
      <c r="D388" s="5"/>
      <c r="E388" s="5"/>
      <c r="F388" s="5"/>
    </row>
    <row r="389" spans="2:6" ht="13">
      <c r="B389" s="5"/>
      <c r="C389" s="5"/>
      <c r="D389" s="5"/>
      <c r="E389" s="5"/>
      <c r="F389" s="5"/>
    </row>
    <row r="390" spans="2:6" ht="13">
      <c r="B390" s="5"/>
      <c r="C390" s="5"/>
      <c r="D390" s="5"/>
      <c r="E390" s="5"/>
      <c r="F390" s="5"/>
    </row>
    <row r="391" spans="2:6" ht="13">
      <c r="B391" s="5"/>
      <c r="C391" s="5"/>
      <c r="D391" s="5"/>
      <c r="E391" s="5"/>
      <c r="F391" s="5"/>
    </row>
    <row r="392" spans="2:6" ht="13">
      <c r="B392" s="5"/>
      <c r="C392" s="5"/>
      <c r="D392" s="5"/>
      <c r="E392" s="5"/>
      <c r="F392" s="5"/>
    </row>
    <row r="393" spans="2:6" ht="13">
      <c r="B393" s="5"/>
      <c r="C393" s="5"/>
      <c r="D393" s="5"/>
      <c r="E393" s="5"/>
      <c r="F393" s="5"/>
    </row>
    <row r="394" spans="2:6" ht="13">
      <c r="B394" s="5"/>
      <c r="C394" s="5"/>
      <c r="D394" s="5"/>
      <c r="E394" s="5"/>
      <c r="F394" s="5"/>
    </row>
    <row r="395" spans="2:6" ht="13">
      <c r="B395" s="5"/>
      <c r="C395" s="5"/>
      <c r="D395" s="5"/>
      <c r="E395" s="5"/>
      <c r="F395" s="5"/>
    </row>
    <row r="396" spans="2:6" ht="13">
      <c r="B396" s="5"/>
      <c r="C396" s="5"/>
      <c r="D396" s="5"/>
      <c r="E396" s="5"/>
      <c r="F396" s="5"/>
    </row>
    <row r="397" spans="2:6" ht="13">
      <c r="B397" s="5"/>
      <c r="C397" s="5"/>
      <c r="D397" s="5"/>
      <c r="E397" s="5"/>
      <c r="F397" s="5"/>
    </row>
    <row r="398" spans="2:6" ht="13">
      <c r="B398" s="5"/>
      <c r="C398" s="5"/>
      <c r="D398" s="5"/>
      <c r="E398" s="5"/>
      <c r="F398" s="5"/>
    </row>
    <row r="399" spans="2:6" ht="13">
      <c r="B399" s="5"/>
      <c r="C399" s="5"/>
      <c r="D399" s="5"/>
      <c r="E399" s="5"/>
      <c r="F399" s="5"/>
    </row>
    <row r="400" spans="2:6" ht="13">
      <c r="B400" s="5"/>
      <c r="C400" s="5"/>
      <c r="D400" s="5"/>
      <c r="E400" s="5"/>
      <c r="F400" s="5"/>
    </row>
    <row r="401" spans="2:6" ht="13">
      <c r="B401" s="5"/>
      <c r="C401" s="5"/>
      <c r="D401" s="5"/>
      <c r="E401" s="5"/>
      <c r="F401" s="5"/>
    </row>
    <row r="402" spans="2:6" ht="13">
      <c r="B402" s="5"/>
      <c r="C402" s="5"/>
      <c r="D402" s="5"/>
      <c r="E402" s="5"/>
      <c r="F402" s="5"/>
    </row>
    <row r="403" spans="2:6" ht="13">
      <c r="B403" s="5"/>
      <c r="C403" s="5"/>
      <c r="D403" s="5"/>
      <c r="E403" s="5"/>
      <c r="F403" s="5"/>
    </row>
    <row r="404" spans="2:6" ht="13">
      <c r="B404" s="5"/>
      <c r="C404" s="5"/>
      <c r="D404" s="5"/>
      <c r="E404" s="5"/>
      <c r="F404" s="5"/>
    </row>
    <row r="405" spans="2:6" ht="13">
      <c r="B405" s="5"/>
      <c r="C405" s="5"/>
      <c r="D405" s="5"/>
      <c r="E405" s="5"/>
      <c r="F405" s="5"/>
    </row>
    <row r="406" spans="2:6" ht="13">
      <c r="B406" s="5"/>
      <c r="C406" s="5"/>
      <c r="D406" s="5"/>
      <c r="E406" s="5"/>
      <c r="F406" s="5"/>
    </row>
    <row r="407" spans="2:6" ht="13">
      <c r="B407" s="5"/>
      <c r="C407" s="5"/>
      <c r="D407" s="5"/>
      <c r="E407" s="5"/>
      <c r="F407" s="5"/>
    </row>
    <row r="408" spans="2:6" ht="13">
      <c r="B408" s="5"/>
      <c r="C408" s="5"/>
      <c r="D408" s="5"/>
      <c r="E408" s="5"/>
      <c r="F408" s="5"/>
    </row>
    <row r="409" spans="2:6" ht="13">
      <c r="B409" s="5"/>
      <c r="C409" s="5"/>
      <c r="D409" s="5"/>
      <c r="E409" s="5"/>
      <c r="F409" s="5"/>
    </row>
    <row r="410" spans="2:6" ht="13">
      <c r="B410" s="5"/>
      <c r="C410" s="5"/>
      <c r="D410" s="5"/>
      <c r="E410" s="5"/>
      <c r="F410" s="5"/>
    </row>
    <row r="411" spans="2:6" ht="13">
      <c r="B411" s="5"/>
      <c r="C411" s="5"/>
      <c r="D411" s="5"/>
      <c r="E411" s="5"/>
      <c r="F411" s="5"/>
    </row>
    <row r="412" spans="2:6" ht="13">
      <c r="B412" s="5"/>
      <c r="C412" s="5"/>
      <c r="D412" s="5"/>
      <c r="E412" s="5"/>
      <c r="F412" s="5"/>
    </row>
    <row r="413" spans="2:6" ht="13">
      <c r="B413" s="5"/>
      <c r="C413" s="5"/>
      <c r="D413" s="5"/>
      <c r="E413" s="5"/>
      <c r="F413" s="5"/>
    </row>
    <row r="414" spans="2:6" ht="13">
      <c r="B414" s="5"/>
      <c r="C414" s="5"/>
      <c r="D414" s="5"/>
      <c r="E414" s="5"/>
      <c r="F414" s="5"/>
    </row>
    <row r="415" spans="2:6" ht="13">
      <c r="B415" s="5"/>
      <c r="C415" s="5"/>
      <c r="D415" s="5"/>
      <c r="E415" s="5"/>
      <c r="F415" s="5"/>
    </row>
    <row r="416" spans="2:6" ht="13">
      <c r="B416" s="5"/>
      <c r="C416" s="5"/>
      <c r="D416" s="5"/>
      <c r="E416" s="5"/>
      <c r="F416" s="5"/>
    </row>
    <row r="417" spans="2:6" ht="13">
      <c r="B417" s="5"/>
      <c r="C417" s="5"/>
      <c r="D417" s="5"/>
      <c r="E417" s="5"/>
      <c r="F417" s="5"/>
    </row>
    <row r="418" spans="2:6" ht="13">
      <c r="B418" s="5"/>
      <c r="C418" s="5"/>
      <c r="D418" s="5"/>
      <c r="E418" s="5"/>
      <c r="F418" s="5"/>
    </row>
    <row r="419" spans="2:6" ht="13">
      <c r="B419" s="5"/>
      <c r="C419" s="5"/>
      <c r="D419" s="5"/>
      <c r="E419" s="5"/>
      <c r="F419" s="5"/>
    </row>
    <row r="420" spans="2:6" ht="13">
      <c r="B420" s="5"/>
      <c r="C420" s="5"/>
      <c r="D420" s="5"/>
      <c r="E420" s="5"/>
      <c r="F420" s="5"/>
    </row>
    <row r="421" spans="2:6" ht="13">
      <c r="B421" s="5"/>
      <c r="C421" s="5"/>
      <c r="D421" s="5"/>
      <c r="E421" s="5"/>
      <c r="F421" s="5"/>
    </row>
    <row r="422" spans="2:6" ht="13">
      <c r="B422" s="5"/>
      <c r="C422" s="5"/>
      <c r="D422" s="5"/>
      <c r="E422" s="5"/>
      <c r="F422" s="5"/>
    </row>
    <row r="423" spans="2:6" ht="13">
      <c r="B423" s="5"/>
      <c r="C423" s="5"/>
      <c r="D423" s="5"/>
      <c r="E423" s="5"/>
      <c r="F423" s="5"/>
    </row>
    <row r="424" spans="2:6" ht="13">
      <c r="B424" s="5"/>
      <c r="C424" s="5"/>
      <c r="D424" s="5"/>
      <c r="E424" s="5"/>
      <c r="F424" s="5"/>
    </row>
    <row r="425" spans="2:6" ht="13">
      <c r="B425" s="5"/>
      <c r="C425" s="5"/>
      <c r="D425" s="5"/>
      <c r="E425" s="5"/>
      <c r="F425" s="5"/>
    </row>
    <row r="426" spans="2:6" ht="13">
      <c r="B426" s="5"/>
      <c r="C426" s="5"/>
      <c r="D426" s="5"/>
      <c r="E426" s="5"/>
      <c r="F426" s="5"/>
    </row>
    <row r="427" spans="2:6" ht="13">
      <c r="B427" s="5"/>
      <c r="C427" s="5"/>
      <c r="D427" s="5"/>
      <c r="E427" s="5"/>
      <c r="F427" s="5"/>
    </row>
    <row r="428" spans="2:6" ht="13">
      <c r="B428" s="5"/>
      <c r="C428" s="5"/>
      <c r="D428" s="5"/>
      <c r="E428" s="5"/>
      <c r="F428" s="5"/>
    </row>
    <row r="429" spans="2:6" ht="13">
      <c r="B429" s="5"/>
      <c r="C429" s="5"/>
      <c r="D429" s="5"/>
      <c r="E429" s="5"/>
      <c r="F429" s="5"/>
    </row>
    <row r="430" spans="2:6" ht="13">
      <c r="B430" s="5"/>
      <c r="C430" s="5"/>
      <c r="D430" s="5"/>
      <c r="E430" s="5"/>
      <c r="F430" s="5"/>
    </row>
    <row r="431" spans="2:6" ht="13">
      <c r="B431" s="5"/>
      <c r="C431" s="5"/>
      <c r="D431" s="5"/>
      <c r="E431" s="5"/>
      <c r="F431" s="5"/>
    </row>
    <row r="432" spans="2:6" ht="13">
      <c r="B432" s="5"/>
      <c r="C432" s="5"/>
      <c r="D432" s="5"/>
      <c r="E432" s="5"/>
      <c r="F432" s="5"/>
    </row>
    <row r="433" spans="2:6" ht="13">
      <c r="B433" s="5"/>
      <c r="C433" s="5"/>
      <c r="D433" s="5"/>
      <c r="E433" s="5"/>
      <c r="F433" s="5"/>
    </row>
    <row r="434" spans="2:6" ht="13">
      <c r="B434" s="5"/>
      <c r="C434" s="5"/>
      <c r="D434" s="5"/>
      <c r="E434" s="5"/>
      <c r="F434" s="5"/>
    </row>
    <row r="435" spans="2:6" ht="13">
      <c r="B435" s="5"/>
      <c r="C435" s="5"/>
      <c r="D435" s="5"/>
      <c r="E435" s="5"/>
      <c r="F435" s="5"/>
    </row>
    <row r="436" spans="2:6" ht="13">
      <c r="B436" s="5"/>
      <c r="C436" s="5"/>
      <c r="D436" s="5"/>
      <c r="E436" s="5"/>
      <c r="F436" s="5"/>
    </row>
    <row r="437" spans="2:6" ht="13">
      <c r="B437" s="5"/>
      <c r="C437" s="5"/>
      <c r="D437" s="5"/>
      <c r="E437" s="5"/>
      <c r="F437" s="5"/>
    </row>
    <row r="438" spans="2:6" ht="13">
      <c r="B438" s="5"/>
      <c r="C438" s="5"/>
      <c r="D438" s="5"/>
      <c r="E438" s="5"/>
      <c r="F438" s="5"/>
    </row>
    <row r="439" spans="2:6" ht="13">
      <c r="B439" s="5"/>
      <c r="C439" s="5"/>
      <c r="D439" s="5"/>
      <c r="E439" s="5"/>
      <c r="F439" s="5"/>
    </row>
    <row r="440" spans="2:6" ht="13">
      <c r="B440" s="5"/>
      <c r="C440" s="5"/>
      <c r="D440" s="5"/>
      <c r="E440" s="5"/>
      <c r="F440" s="5"/>
    </row>
    <row r="441" spans="2:6" ht="13">
      <c r="B441" s="5"/>
      <c r="C441" s="5"/>
      <c r="D441" s="5"/>
      <c r="E441" s="5"/>
      <c r="F441" s="5"/>
    </row>
    <row r="442" spans="2:6" ht="13">
      <c r="B442" s="5"/>
      <c r="C442" s="5"/>
      <c r="D442" s="5"/>
      <c r="E442" s="5"/>
      <c r="F442" s="5"/>
    </row>
    <row r="443" spans="2:6" ht="13">
      <c r="B443" s="5"/>
      <c r="C443" s="5"/>
      <c r="D443" s="5"/>
      <c r="E443" s="5"/>
      <c r="F443" s="5"/>
    </row>
    <row r="444" spans="2:6" ht="13">
      <c r="B444" s="5"/>
      <c r="C444" s="5"/>
      <c r="D444" s="5"/>
      <c r="E444" s="5"/>
      <c r="F444" s="5"/>
    </row>
    <row r="445" spans="2:6" ht="13">
      <c r="B445" s="5"/>
      <c r="C445" s="5"/>
      <c r="D445" s="5"/>
      <c r="E445" s="5"/>
      <c r="F445" s="5"/>
    </row>
    <row r="446" spans="2:6" ht="13">
      <c r="B446" s="5"/>
      <c r="C446" s="5"/>
      <c r="D446" s="5"/>
      <c r="E446" s="5"/>
      <c r="F446" s="5"/>
    </row>
    <row r="447" spans="2:6" ht="13">
      <c r="B447" s="5"/>
      <c r="C447" s="5"/>
      <c r="D447" s="5"/>
      <c r="E447" s="5"/>
      <c r="F447" s="5"/>
    </row>
    <row r="448" spans="2:6" ht="13">
      <c r="B448" s="5"/>
      <c r="C448" s="5"/>
      <c r="D448" s="5"/>
      <c r="E448" s="5"/>
      <c r="F448" s="5"/>
    </row>
    <row r="449" spans="2:6" ht="13">
      <c r="B449" s="5"/>
      <c r="C449" s="5"/>
      <c r="D449" s="5"/>
      <c r="E449" s="5"/>
      <c r="F449" s="5"/>
    </row>
    <row r="450" spans="2:6" ht="13">
      <c r="B450" s="5"/>
      <c r="C450" s="5"/>
      <c r="D450" s="5"/>
      <c r="E450" s="5"/>
      <c r="F450" s="5"/>
    </row>
    <row r="451" spans="2:6" ht="13">
      <c r="B451" s="5"/>
      <c r="C451" s="5"/>
      <c r="D451" s="5"/>
      <c r="E451" s="5"/>
      <c r="F451" s="5"/>
    </row>
    <row r="452" spans="2:6" ht="13">
      <c r="B452" s="5"/>
      <c r="C452" s="5"/>
      <c r="D452" s="5"/>
      <c r="E452" s="5"/>
      <c r="F452" s="5"/>
    </row>
    <row r="453" spans="2:6" ht="13">
      <c r="B453" s="5"/>
      <c r="C453" s="5"/>
      <c r="D453" s="5"/>
      <c r="E453" s="5"/>
      <c r="F453" s="5"/>
    </row>
    <row r="454" spans="2:6" ht="13">
      <c r="B454" s="5"/>
      <c r="C454" s="5"/>
      <c r="D454" s="5"/>
      <c r="E454" s="5"/>
      <c r="F454" s="5"/>
    </row>
    <row r="455" spans="2:6" ht="13">
      <c r="B455" s="5"/>
      <c r="C455" s="5"/>
      <c r="D455" s="5"/>
      <c r="E455" s="5"/>
      <c r="F455" s="5"/>
    </row>
    <row r="456" spans="2:6" ht="13">
      <c r="B456" s="5"/>
      <c r="C456" s="5"/>
      <c r="D456" s="5"/>
      <c r="E456" s="5"/>
      <c r="F456" s="5"/>
    </row>
    <row r="457" spans="2:6" ht="13">
      <c r="B457" s="5"/>
      <c r="C457" s="5"/>
      <c r="D457" s="5"/>
      <c r="E457" s="5"/>
      <c r="F457" s="5"/>
    </row>
    <row r="458" spans="2:6" ht="13">
      <c r="B458" s="5"/>
      <c r="C458" s="5"/>
      <c r="D458" s="5"/>
      <c r="E458" s="5"/>
      <c r="F458" s="5"/>
    </row>
    <row r="459" spans="2:6" ht="13">
      <c r="B459" s="5"/>
      <c r="C459" s="5"/>
      <c r="D459" s="5"/>
      <c r="E459" s="5"/>
      <c r="F459" s="5"/>
    </row>
    <row r="460" spans="2:6" ht="13">
      <c r="B460" s="5"/>
      <c r="C460" s="5"/>
      <c r="D460" s="5"/>
      <c r="E460" s="5"/>
      <c r="F460" s="5"/>
    </row>
    <row r="461" spans="2:6" ht="13">
      <c r="B461" s="5"/>
      <c r="C461" s="5"/>
      <c r="D461" s="5"/>
      <c r="E461" s="5"/>
      <c r="F461" s="5"/>
    </row>
    <row r="462" spans="2:6" ht="13">
      <c r="B462" s="5"/>
      <c r="C462" s="5"/>
      <c r="D462" s="5"/>
      <c r="E462" s="5"/>
      <c r="F462" s="5"/>
    </row>
    <row r="463" spans="2:6" ht="13">
      <c r="B463" s="5"/>
      <c r="C463" s="5"/>
      <c r="D463" s="5"/>
      <c r="E463" s="5"/>
      <c r="F463" s="5"/>
    </row>
    <row r="464" spans="2:6" ht="13">
      <c r="B464" s="5"/>
      <c r="C464" s="5"/>
      <c r="D464" s="5"/>
      <c r="E464" s="5"/>
      <c r="F464" s="5"/>
    </row>
    <row r="465" spans="2:6" ht="13">
      <c r="B465" s="5"/>
      <c r="C465" s="5"/>
      <c r="D465" s="5"/>
      <c r="E465" s="5"/>
      <c r="F465" s="5"/>
    </row>
    <row r="466" spans="2:6" ht="13">
      <c r="B466" s="5"/>
      <c r="C466" s="5"/>
      <c r="D466" s="5"/>
      <c r="E466" s="5"/>
      <c r="F466" s="5"/>
    </row>
    <row r="467" spans="2:6" ht="13">
      <c r="B467" s="5"/>
      <c r="C467" s="5"/>
      <c r="D467" s="5"/>
      <c r="E467" s="5"/>
      <c r="F467" s="5"/>
    </row>
    <row r="468" spans="2:6" ht="13">
      <c r="B468" s="5"/>
      <c r="C468" s="5"/>
      <c r="D468" s="5"/>
      <c r="E468" s="5"/>
      <c r="F468" s="5"/>
    </row>
    <row r="469" spans="2:6" ht="13">
      <c r="B469" s="5"/>
      <c r="C469" s="5"/>
      <c r="D469" s="5"/>
      <c r="E469" s="5"/>
      <c r="F469" s="5"/>
    </row>
    <row r="470" spans="2:6" ht="13">
      <c r="B470" s="5"/>
      <c r="C470" s="5"/>
      <c r="D470" s="5"/>
      <c r="E470" s="5"/>
      <c r="F470" s="5"/>
    </row>
    <row r="471" spans="2:6" ht="13">
      <c r="B471" s="5"/>
      <c r="C471" s="5"/>
      <c r="D471" s="5"/>
      <c r="E471" s="5"/>
      <c r="F471" s="5"/>
    </row>
    <row r="472" spans="2:6" ht="13">
      <c r="B472" s="5"/>
      <c r="C472" s="5"/>
      <c r="D472" s="5"/>
      <c r="E472" s="5"/>
      <c r="F472" s="5"/>
    </row>
    <row r="473" spans="2:6" ht="13">
      <c r="B473" s="5"/>
      <c r="C473" s="5"/>
      <c r="D473" s="5"/>
      <c r="E473" s="5"/>
      <c r="F473" s="5"/>
    </row>
    <row r="474" spans="2:6" ht="13">
      <c r="B474" s="5"/>
      <c r="C474" s="5"/>
      <c r="D474" s="5"/>
      <c r="E474" s="5"/>
      <c r="F474" s="5"/>
    </row>
    <row r="475" spans="2:6" ht="13">
      <c r="B475" s="5"/>
      <c r="C475" s="5"/>
      <c r="D475" s="5"/>
      <c r="E475" s="5"/>
      <c r="F475" s="5"/>
    </row>
    <row r="476" spans="2:6" ht="13">
      <c r="B476" s="5"/>
      <c r="C476" s="5"/>
      <c r="D476" s="5"/>
      <c r="E476" s="5"/>
      <c r="F476" s="5"/>
    </row>
    <row r="477" spans="2:6" ht="13">
      <c r="B477" s="5"/>
      <c r="C477" s="5"/>
      <c r="D477" s="5"/>
      <c r="E477" s="5"/>
      <c r="F477" s="5"/>
    </row>
    <row r="478" spans="2:6" ht="13">
      <c r="B478" s="5"/>
      <c r="C478" s="5"/>
      <c r="D478" s="5"/>
      <c r="E478" s="5"/>
      <c r="F478" s="5"/>
    </row>
    <row r="479" spans="2:6" ht="13">
      <c r="B479" s="5"/>
      <c r="C479" s="5"/>
      <c r="D479" s="5"/>
      <c r="E479" s="5"/>
      <c r="F479" s="5"/>
    </row>
    <row r="480" spans="2:6" ht="13">
      <c r="B480" s="5"/>
      <c r="C480" s="5"/>
      <c r="D480" s="5"/>
      <c r="E480" s="5"/>
      <c r="F480" s="5"/>
    </row>
    <row r="481" spans="2:6" ht="13">
      <c r="B481" s="5"/>
      <c r="C481" s="5"/>
      <c r="D481" s="5"/>
      <c r="E481" s="5"/>
      <c r="F481" s="5"/>
    </row>
    <row r="482" spans="2:6" ht="13">
      <c r="B482" s="5"/>
      <c r="C482" s="5"/>
      <c r="D482" s="5"/>
      <c r="E482" s="5"/>
      <c r="F482" s="5"/>
    </row>
    <row r="483" spans="2:6" ht="13">
      <c r="B483" s="5"/>
      <c r="C483" s="5"/>
      <c r="D483" s="5"/>
      <c r="E483" s="5"/>
      <c r="F483" s="5"/>
    </row>
    <row r="484" spans="2:6" ht="13">
      <c r="B484" s="5"/>
      <c r="C484" s="5"/>
      <c r="D484" s="5"/>
      <c r="E484" s="5"/>
      <c r="F484" s="5"/>
    </row>
    <row r="485" spans="2:6" ht="13">
      <c r="B485" s="5"/>
      <c r="C485" s="5"/>
      <c r="D485" s="5"/>
      <c r="E485" s="5"/>
      <c r="F485" s="5"/>
    </row>
    <row r="486" spans="2:6" ht="13">
      <c r="B486" s="5"/>
      <c r="C486" s="5"/>
      <c r="D486" s="5"/>
      <c r="E486" s="5"/>
      <c r="F486" s="5"/>
    </row>
    <row r="487" spans="2:6" ht="13">
      <c r="B487" s="5"/>
      <c r="C487" s="5"/>
      <c r="D487" s="5"/>
      <c r="E487" s="5"/>
      <c r="F487" s="5"/>
    </row>
    <row r="488" spans="2:6" ht="13">
      <c r="B488" s="5"/>
      <c r="C488" s="5"/>
      <c r="D488" s="5"/>
      <c r="E488" s="5"/>
      <c r="F488" s="5"/>
    </row>
    <row r="489" spans="2:6" ht="13">
      <c r="B489" s="5"/>
      <c r="C489" s="5"/>
      <c r="D489" s="5"/>
      <c r="E489" s="5"/>
      <c r="F489" s="5"/>
    </row>
    <row r="490" spans="2:6" ht="13">
      <c r="B490" s="5"/>
      <c r="C490" s="5"/>
      <c r="D490" s="5"/>
      <c r="E490" s="5"/>
      <c r="F490" s="5"/>
    </row>
    <row r="491" spans="2:6" ht="13">
      <c r="B491" s="5"/>
      <c r="C491" s="5"/>
      <c r="D491" s="5"/>
      <c r="E491" s="5"/>
      <c r="F491" s="5"/>
    </row>
    <row r="492" spans="2:6" ht="13">
      <c r="B492" s="5"/>
      <c r="C492" s="5"/>
      <c r="D492" s="5"/>
      <c r="E492" s="5"/>
      <c r="F492" s="5"/>
    </row>
    <row r="493" spans="2:6" ht="13">
      <c r="B493" s="5"/>
      <c r="C493" s="5"/>
      <c r="D493" s="5"/>
      <c r="E493" s="5"/>
      <c r="F493" s="5"/>
    </row>
    <row r="494" spans="2:6" ht="13">
      <c r="B494" s="5"/>
      <c r="C494" s="5"/>
      <c r="D494" s="5"/>
      <c r="E494" s="5"/>
      <c r="F494" s="5"/>
    </row>
    <row r="495" spans="2:6" ht="13">
      <c r="B495" s="5"/>
      <c r="C495" s="5"/>
      <c r="D495" s="5"/>
      <c r="E495" s="5"/>
      <c r="F495" s="5"/>
    </row>
    <row r="496" spans="2:6" ht="13">
      <c r="B496" s="5"/>
      <c r="C496" s="5"/>
      <c r="D496" s="5"/>
      <c r="E496" s="5"/>
      <c r="F496" s="5"/>
    </row>
    <row r="497" spans="2:6" ht="13">
      <c r="B497" s="5"/>
      <c r="C497" s="5"/>
      <c r="D497" s="5"/>
      <c r="E497" s="5"/>
      <c r="F497" s="5"/>
    </row>
    <row r="498" spans="2:6" ht="13">
      <c r="B498" s="5"/>
      <c r="C498" s="5"/>
      <c r="D498" s="5"/>
      <c r="E498" s="5"/>
      <c r="F498" s="5"/>
    </row>
    <row r="499" spans="2:6" ht="13">
      <c r="B499" s="5"/>
      <c r="C499" s="5"/>
      <c r="D499" s="5"/>
      <c r="E499" s="5"/>
      <c r="F499" s="5"/>
    </row>
    <row r="500" spans="2:6" ht="13">
      <c r="B500" s="5"/>
      <c r="C500" s="5"/>
      <c r="D500" s="5"/>
      <c r="E500" s="5"/>
      <c r="F500" s="5"/>
    </row>
    <row r="501" spans="2:6" ht="13">
      <c r="B501" s="5"/>
      <c r="C501" s="5"/>
      <c r="D501" s="5"/>
      <c r="E501" s="5"/>
      <c r="F501" s="5"/>
    </row>
    <row r="502" spans="2:6" ht="13">
      <c r="B502" s="5"/>
      <c r="C502" s="5"/>
      <c r="D502" s="5"/>
      <c r="E502" s="5"/>
      <c r="F502" s="5"/>
    </row>
    <row r="503" spans="2:6" ht="13">
      <c r="B503" s="5"/>
      <c r="C503" s="5"/>
      <c r="D503" s="5"/>
      <c r="E503" s="5"/>
      <c r="F503" s="5"/>
    </row>
    <row r="504" spans="2:6" ht="13">
      <c r="B504" s="5"/>
      <c r="C504" s="5"/>
      <c r="D504" s="5"/>
      <c r="E504" s="5"/>
      <c r="F504" s="5"/>
    </row>
    <row r="505" spans="2:6" ht="13">
      <c r="B505" s="5"/>
      <c r="C505" s="5"/>
      <c r="D505" s="5"/>
      <c r="E505" s="5"/>
      <c r="F505" s="5"/>
    </row>
    <row r="506" spans="2:6" ht="13">
      <c r="B506" s="5"/>
      <c r="C506" s="5"/>
      <c r="D506" s="5"/>
      <c r="E506" s="5"/>
      <c r="F506" s="5"/>
    </row>
    <row r="507" spans="2:6" ht="13">
      <c r="B507" s="5"/>
      <c r="C507" s="5"/>
      <c r="D507" s="5"/>
      <c r="E507" s="5"/>
      <c r="F507" s="5"/>
    </row>
    <row r="508" spans="2:6" ht="13">
      <c r="B508" s="5"/>
      <c r="C508" s="5"/>
      <c r="D508" s="5"/>
      <c r="E508" s="5"/>
      <c r="F508" s="5"/>
    </row>
    <row r="509" spans="2:6" ht="13">
      <c r="B509" s="5"/>
      <c r="C509" s="5"/>
      <c r="D509" s="5"/>
      <c r="E509" s="5"/>
      <c r="F509" s="5"/>
    </row>
    <row r="510" spans="2:6" ht="13">
      <c r="B510" s="5"/>
      <c r="C510" s="5"/>
      <c r="D510" s="5"/>
      <c r="E510" s="5"/>
      <c r="F510" s="5"/>
    </row>
    <row r="511" spans="2:6" ht="13">
      <c r="B511" s="5"/>
      <c r="C511" s="5"/>
      <c r="D511" s="5"/>
      <c r="E511" s="5"/>
      <c r="F511" s="5"/>
    </row>
    <row r="512" spans="2:6" ht="13">
      <c r="B512" s="5"/>
      <c r="C512" s="5"/>
      <c r="D512" s="5"/>
      <c r="E512" s="5"/>
      <c r="F512" s="5"/>
    </row>
    <row r="513" spans="2:6" ht="13">
      <c r="B513" s="5"/>
      <c r="C513" s="5"/>
      <c r="D513" s="5"/>
      <c r="E513" s="5"/>
      <c r="F513" s="5"/>
    </row>
    <row r="514" spans="2:6" ht="13">
      <c r="B514" s="5"/>
      <c r="C514" s="5"/>
      <c r="D514" s="5"/>
      <c r="E514" s="5"/>
      <c r="F514" s="5"/>
    </row>
    <row r="515" spans="2:6" ht="13">
      <c r="B515" s="5"/>
      <c r="C515" s="5"/>
      <c r="D515" s="5"/>
      <c r="E515" s="5"/>
      <c r="F515" s="5"/>
    </row>
    <row r="516" spans="2:6" ht="13">
      <c r="B516" s="5"/>
      <c r="C516" s="5"/>
      <c r="D516" s="5"/>
      <c r="E516" s="5"/>
      <c r="F516" s="5"/>
    </row>
    <row r="517" spans="2:6" ht="13">
      <c r="B517" s="5"/>
      <c r="C517" s="5"/>
      <c r="D517" s="5"/>
      <c r="E517" s="5"/>
      <c r="F517" s="5"/>
    </row>
    <row r="518" spans="2:6" ht="13">
      <c r="B518" s="5"/>
      <c r="C518" s="5"/>
      <c r="D518" s="5"/>
      <c r="E518" s="5"/>
      <c r="F518" s="5"/>
    </row>
    <row r="519" spans="2:6" ht="13">
      <c r="B519" s="5"/>
      <c r="C519" s="5"/>
      <c r="D519" s="5"/>
      <c r="E519" s="5"/>
      <c r="F519" s="5"/>
    </row>
    <row r="520" spans="2:6" ht="13">
      <c r="B520" s="5"/>
      <c r="C520" s="5"/>
      <c r="D520" s="5"/>
      <c r="E520" s="5"/>
      <c r="F520" s="5"/>
    </row>
    <row r="521" spans="2:6" ht="13">
      <c r="B521" s="5"/>
      <c r="C521" s="5"/>
      <c r="D521" s="5"/>
      <c r="E521" s="5"/>
      <c r="F521" s="5"/>
    </row>
    <row r="522" spans="2:6" ht="13">
      <c r="B522" s="5"/>
      <c r="C522" s="5"/>
      <c r="D522" s="5"/>
      <c r="E522" s="5"/>
      <c r="F522" s="5"/>
    </row>
    <row r="523" spans="2:6" ht="13">
      <c r="B523" s="5"/>
      <c r="C523" s="5"/>
      <c r="D523" s="5"/>
      <c r="E523" s="5"/>
      <c r="F523" s="5"/>
    </row>
    <row r="524" spans="2:6" ht="13">
      <c r="B524" s="5"/>
      <c r="C524" s="5"/>
      <c r="D524" s="5"/>
      <c r="E524" s="5"/>
      <c r="F524" s="5"/>
    </row>
    <row r="525" spans="2:6" ht="13">
      <c r="B525" s="5"/>
      <c r="C525" s="5"/>
      <c r="D525" s="5"/>
      <c r="E525" s="5"/>
      <c r="F525" s="5"/>
    </row>
    <row r="526" spans="2:6" ht="13">
      <c r="B526" s="5"/>
      <c r="C526" s="5"/>
      <c r="D526" s="5"/>
      <c r="E526" s="5"/>
      <c r="F526" s="5"/>
    </row>
    <row r="527" spans="2:6" ht="13">
      <c r="B527" s="5"/>
      <c r="C527" s="5"/>
      <c r="D527" s="5"/>
      <c r="E527" s="5"/>
      <c r="F527" s="5"/>
    </row>
    <row r="528" spans="2:6" ht="13">
      <c r="B528" s="5"/>
      <c r="C528" s="5"/>
      <c r="D528" s="5"/>
      <c r="E528" s="5"/>
      <c r="F528" s="5"/>
    </row>
    <row r="529" spans="2:6" ht="13">
      <c r="B529" s="5"/>
      <c r="C529" s="5"/>
      <c r="D529" s="5"/>
      <c r="E529" s="5"/>
      <c r="F529" s="5"/>
    </row>
    <row r="530" spans="2:6" ht="13">
      <c r="B530" s="5"/>
      <c r="C530" s="5"/>
      <c r="D530" s="5"/>
      <c r="E530" s="5"/>
      <c r="F530" s="5"/>
    </row>
    <row r="531" spans="2:6" ht="13">
      <c r="B531" s="5"/>
      <c r="C531" s="5"/>
      <c r="D531" s="5"/>
      <c r="E531" s="5"/>
      <c r="F531" s="5"/>
    </row>
    <row r="532" spans="2:6" ht="13">
      <c r="B532" s="5"/>
      <c r="C532" s="5"/>
      <c r="D532" s="5"/>
      <c r="E532" s="5"/>
      <c r="F532" s="5"/>
    </row>
    <row r="533" spans="2:6" ht="13">
      <c r="B533" s="5"/>
      <c r="C533" s="5"/>
      <c r="D533" s="5"/>
      <c r="E533" s="5"/>
      <c r="F533" s="5"/>
    </row>
    <row r="534" spans="2:6" ht="13">
      <c r="B534" s="5"/>
      <c r="C534" s="5"/>
      <c r="D534" s="5"/>
      <c r="E534" s="5"/>
      <c r="F534" s="5"/>
    </row>
    <row r="535" spans="2:6" ht="13">
      <c r="B535" s="5"/>
      <c r="C535" s="5"/>
      <c r="D535" s="5"/>
      <c r="E535" s="5"/>
      <c r="F535" s="5"/>
    </row>
    <row r="536" spans="2:6" ht="13">
      <c r="B536" s="5"/>
      <c r="C536" s="5"/>
      <c r="D536" s="5"/>
      <c r="E536" s="5"/>
      <c r="F536" s="5"/>
    </row>
    <row r="537" spans="2:6" ht="13">
      <c r="B537" s="5"/>
      <c r="C537" s="5"/>
      <c r="D537" s="5"/>
      <c r="E537" s="5"/>
      <c r="F537" s="5"/>
    </row>
    <row r="538" spans="2:6" ht="13">
      <c r="B538" s="5"/>
      <c r="C538" s="5"/>
      <c r="D538" s="5"/>
      <c r="E538" s="5"/>
      <c r="F538" s="5"/>
    </row>
    <row r="539" spans="2:6" ht="13">
      <c r="B539" s="5"/>
      <c r="C539" s="5"/>
      <c r="D539" s="5"/>
      <c r="E539" s="5"/>
      <c r="F539" s="5"/>
    </row>
    <row r="540" spans="2:6" ht="13">
      <c r="B540" s="5"/>
      <c r="C540" s="5"/>
      <c r="D540" s="5"/>
      <c r="E540" s="5"/>
      <c r="F540" s="5"/>
    </row>
    <row r="541" spans="2:6" ht="13">
      <c r="B541" s="5"/>
      <c r="C541" s="5"/>
      <c r="D541" s="5"/>
      <c r="E541" s="5"/>
      <c r="F541" s="5"/>
    </row>
    <row r="542" spans="2:6" ht="13">
      <c r="B542" s="5"/>
      <c r="C542" s="5"/>
      <c r="D542" s="5"/>
      <c r="E542" s="5"/>
      <c r="F542" s="5"/>
    </row>
    <row r="543" spans="2:6" ht="13">
      <c r="B543" s="5"/>
      <c r="C543" s="5"/>
      <c r="D543" s="5"/>
      <c r="E543" s="5"/>
      <c r="F543" s="5"/>
    </row>
    <row r="544" spans="2:6" ht="13">
      <c r="B544" s="5"/>
      <c r="C544" s="5"/>
      <c r="D544" s="5"/>
      <c r="E544" s="5"/>
      <c r="F544" s="5"/>
    </row>
    <row r="545" spans="2:6" ht="13">
      <c r="B545" s="5"/>
      <c r="C545" s="5"/>
      <c r="D545" s="5"/>
      <c r="E545" s="5"/>
      <c r="F545" s="5"/>
    </row>
    <row r="546" spans="2:6" ht="13">
      <c r="B546" s="5"/>
      <c r="C546" s="5"/>
      <c r="D546" s="5"/>
      <c r="E546" s="5"/>
      <c r="F546" s="5"/>
    </row>
    <row r="547" spans="2:6" ht="13">
      <c r="B547" s="5"/>
      <c r="C547" s="5"/>
      <c r="D547" s="5"/>
      <c r="E547" s="5"/>
      <c r="F547" s="5"/>
    </row>
    <row r="548" spans="2:6" ht="13">
      <c r="B548" s="5"/>
      <c r="C548" s="5"/>
      <c r="D548" s="5"/>
      <c r="E548" s="5"/>
      <c r="F548" s="5"/>
    </row>
    <row r="549" spans="2:6" ht="13">
      <c r="B549" s="5"/>
      <c r="C549" s="5"/>
      <c r="D549" s="5"/>
      <c r="E549" s="5"/>
      <c r="F549" s="5"/>
    </row>
    <row r="550" spans="2:6" ht="13">
      <c r="B550" s="5"/>
      <c r="C550" s="5"/>
      <c r="D550" s="5"/>
      <c r="E550" s="5"/>
      <c r="F550" s="5"/>
    </row>
    <row r="551" spans="2:6" ht="13">
      <c r="B551" s="5"/>
      <c r="C551" s="5"/>
      <c r="D551" s="5"/>
      <c r="E551" s="5"/>
      <c r="F551" s="5"/>
    </row>
    <row r="552" spans="2:6" ht="13">
      <c r="B552" s="5"/>
      <c r="C552" s="5"/>
      <c r="D552" s="5"/>
      <c r="E552" s="5"/>
      <c r="F552" s="5"/>
    </row>
    <row r="553" spans="2:6" ht="13">
      <c r="B553" s="5"/>
      <c r="C553" s="5"/>
      <c r="D553" s="5"/>
      <c r="E553" s="5"/>
      <c r="F553" s="5"/>
    </row>
    <row r="554" spans="2:6" ht="13">
      <c r="B554" s="5"/>
      <c r="C554" s="5"/>
      <c r="D554" s="5"/>
      <c r="E554" s="5"/>
      <c r="F554" s="5"/>
    </row>
    <row r="555" spans="2:6" ht="13">
      <c r="B555" s="5"/>
      <c r="C555" s="5"/>
      <c r="D555" s="5"/>
      <c r="E555" s="5"/>
      <c r="F555" s="5"/>
    </row>
    <row r="556" spans="2:6" ht="13">
      <c r="B556" s="5"/>
      <c r="C556" s="5"/>
      <c r="D556" s="5"/>
      <c r="E556" s="5"/>
      <c r="F556" s="5"/>
    </row>
    <row r="557" spans="2:6" ht="13">
      <c r="B557" s="5"/>
      <c r="C557" s="5"/>
      <c r="D557" s="5"/>
      <c r="E557" s="5"/>
      <c r="F557" s="5"/>
    </row>
    <row r="558" spans="2:6" ht="13">
      <c r="B558" s="5"/>
      <c r="C558" s="5"/>
      <c r="D558" s="5"/>
      <c r="E558" s="5"/>
      <c r="F558" s="5"/>
    </row>
    <row r="559" spans="2:6" ht="13">
      <c r="B559" s="5"/>
      <c r="C559" s="5"/>
      <c r="D559" s="5"/>
      <c r="E559" s="5"/>
      <c r="F559" s="5"/>
    </row>
    <row r="560" spans="2:6" ht="13">
      <c r="B560" s="5"/>
      <c r="C560" s="5"/>
      <c r="D560" s="5"/>
      <c r="E560" s="5"/>
      <c r="F560" s="5"/>
    </row>
    <row r="561" spans="2:6" ht="13">
      <c r="B561" s="5"/>
      <c r="C561" s="5"/>
      <c r="D561" s="5"/>
      <c r="E561" s="5"/>
      <c r="F561" s="5"/>
    </row>
    <row r="562" spans="2:6" ht="13">
      <c r="B562" s="5"/>
      <c r="C562" s="5"/>
      <c r="D562" s="5"/>
      <c r="E562" s="5"/>
      <c r="F562" s="5"/>
    </row>
    <row r="563" spans="2:6" ht="13">
      <c r="B563" s="5"/>
      <c r="C563" s="5"/>
      <c r="D563" s="5"/>
      <c r="E563" s="5"/>
      <c r="F563" s="5"/>
    </row>
    <row r="564" spans="2:6" ht="13">
      <c r="B564" s="5"/>
      <c r="C564" s="5"/>
      <c r="D564" s="5"/>
      <c r="E564" s="5"/>
      <c r="F564" s="5"/>
    </row>
    <row r="565" spans="2:6" ht="13">
      <c r="B565" s="5"/>
      <c r="C565" s="5"/>
      <c r="D565" s="5"/>
      <c r="E565" s="5"/>
      <c r="F565" s="5"/>
    </row>
    <row r="566" spans="2:6" ht="13">
      <c r="B566" s="5"/>
      <c r="C566" s="5"/>
      <c r="D566" s="5"/>
      <c r="E566" s="5"/>
      <c r="F566" s="5"/>
    </row>
    <row r="567" spans="2:6" ht="13">
      <c r="B567" s="5"/>
      <c r="C567" s="5"/>
      <c r="D567" s="5"/>
      <c r="E567" s="5"/>
      <c r="F567" s="5"/>
    </row>
    <row r="568" spans="2:6" ht="13">
      <c r="B568" s="5"/>
      <c r="C568" s="5"/>
      <c r="D568" s="5"/>
      <c r="E568" s="5"/>
      <c r="F568" s="5"/>
    </row>
    <row r="569" spans="2:6" ht="13">
      <c r="B569" s="5"/>
      <c r="C569" s="5"/>
      <c r="D569" s="5"/>
      <c r="E569" s="5"/>
      <c r="F569" s="5"/>
    </row>
    <row r="570" spans="2:6" ht="13">
      <c r="B570" s="5"/>
      <c r="C570" s="5"/>
      <c r="D570" s="5"/>
      <c r="E570" s="5"/>
      <c r="F570" s="5"/>
    </row>
    <row r="571" spans="2:6" ht="13">
      <c r="B571" s="5"/>
      <c r="C571" s="5"/>
      <c r="D571" s="5"/>
      <c r="E571" s="5"/>
      <c r="F571" s="5"/>
    </row>
    <row r="572" spans="2:6" ht="13">
      <c r="B572" s="5"/>
      <c r="C572" s="5"/>
      <c r="D572" s="5"/>
      <c r="E572" s="5"/>
      <c r="F572" s="5"/>
    </row>
    <row r="573" spans="2:6" ht="13">
      <c r="B573" s="5"/>
      <c r="C573" s="5"/>
      <c r="D573" s="5"/>
      <c r="E573" s="5"/>
      <c r="F573" s="5"/>
    </row>
    <row r="574" spans="2:6" ht="13">
      <c r="B574" s="5"/>
      <c r="C574" s="5"/>
      <c r="D574" s="5"/>
      <c r="E574" s="5"/>
      <c r="F574" s="5"/>
    </row>
    <row r="575" spans="2:6" ht="13">
      <c r="B575" s="5"/>
      <c r="C575" s="5"/>
      <c r="D575" s="5"/>
      <c r="E575" s="5"/>
      <c r="F575" s="5"/>
    </row>
    <row r="576" spans="2:6" ht="13">
      <c r="B576" s="5"/>
      <c r="C576" s="5"/>
      <c r="D576" s="5"/>
      <c r="E576" s="5"/>
      <c r="F576" s="5"/>
    </row>
    <row r="577" spans="2:6" ht="13">
      <c r="B577" s="5"/>
      <c r="C577" s="5"/>
      <c r="D577" s="5"/>
      <c r="E577" s="5"/>
      <c r="F577" s="5"/>
    </row>
    <row r="578" spans="2:6" ht="13">
      <c r="B578" s="5"/>
      <c r="C578" s="5"/>
      <c r="D578" s="5"/>
      <c r="E578" s="5"/>
      <c r="F578" s="5"/>
    </row>
    <row r="579" spans="2:6" ht="13">
      <c r="B579" s="5"/>
      <c r="C579" s="5"/>
      <c r="D579" s="5"/>
      <c r="E579" s="5"/>
      <c r="F579" s="5"/>
    </row>
    <row r="580" spans="2:6" ht="13">
      <c r="B580" s="5"/>
      <c r="C580" s="5"/>
      <c r="D580" s="5"/>
      <c r="E580" s="5"/>
      <c r="F580" s="5"/>
    </row>
    <row r="581" spans="2:6" ht="13">
      <c r="B581" s="5"/>
      <c r="C581" s="5"/>
      <c r="D581" s="5"/>
      <c r="E581" s="5"/>
      <c r="F581" s="5"/>
    </row>
    <row r="582" spans="2:6" ht="13">
      <c r="B582" s="5"/>
      <c r="C582" s="5"/>
      <c r="D582" s="5"/>
      <c r="E582" s="5"/>
      <c r="F582" s="5"/>
    </row>
    <row r="583" spans="2:6" ht="13">
      <c r="B583" s="5"/>
      <c r="C583" s="5"/>
      <c r="D583" s="5"/>
      <c r="E583" s="5"/>
      <c r="F583" s="5"/>
    </row>
    <row r="584" spans="2:6" ht="13">
      <c r="B584" s="5"/>
      <c r="C584" s="5"/>
      <c r="D584" s="5"/>
      <c r="E584" s="5"/>
      <c r="F584" s="5"/>
    </row>
    <row r="585" spans="2:6" ht="13">
      <c r="B585" s="5"/>
      <c r="C585" s="5"/>
      <c r="D585" s="5"/>
      <c r="E585" s="5"/>
      <c r="F585" s="5"/>
    </row>
    <row r="586" spans="2:6" ht="13">
      <c r="B586" s="5"/>
      <c r="C586" s="5"/>
      <c r="D586" s="5"/>
      <c r="E586" s="5"/>
      <c r="F586" s="5"/>
    </row>
    <row r="587" spans="2:6" ht="13">
      <c r="B587" s="5"/>
      <c r="C587" s="5"/>
      <c r="D587" s="5"/>
      <c r="E587" s="5"/>
      <c r="F587" s="5"/>
    </row>
    <row r="588" spans="2:6" ht="13">
      <c r="B588" s="5"/>
      <c r="C588" s="5"/>
      <c r="D588" s="5"/>
      <c r="E588" s="5"/>
      <c r="F588" s="5"/>
    </row>
    <row r="589" spans="2:6" ht="13">
      <c r="B589" s="5"/>
      <c r="C589" s="5"/>
      <c r="D589" s="5"/>
      <c r="E589" s="5"/>
      <c r="F589" s="5"/>
    </row>
    <row r="590" spans="2:6" ht="13">
      <c r="B590" s="5"/>
      <c r="C590" s="5"/>
      <c r="D590" s="5"/>
      <c r="E590" s="5"/>
      <c r="F590" s="5"/>
    </row>
    <row r="591" spans="2:6" ht="13">
      <c r="B591" s="5"/>
      <c r="C591" s="5"/>
      <c r="D591" s="5"/>
      <c r="E591" s="5"/>
      <c r="F591" s="5"/>
    </row>
    <row r="592" spans="2:6" ht="13">
      <c r="B592" s="5"/>
      <c r="C592" s="5"/>
      <c r="D592" s="5"/>
      <c r="E592" s="5"/>
      <c r="F592" s="5"/>
    </row>
    <row r="593" spans="2:6" ht="13">
      <c r="B593" s="5"/>
      <c r="C593" s="5"/>
      <c r="D593" s="5"/>
      <c r="E593" s="5"/>
      <c r="F593" s="5"/>
    </row>
    <row r="594" spans="2:6" ht="13">
      <c r="B594" s="5"/>
      <c r="C594" s="5"/>
      <c r="D594" s="5"/>
      <c r="E594" s="5"/>
      <c r="F594" s="5"/>
    </row>
    <row r="595" spans="2:6" ht="13">
      <c r="B595" s="5"/>
      <c r="C595" s="5"/>
      <c r="D595" s="5"/>
      <c r="E595" s="5"/>
      <c r="F595" s="5"/>
    </row>
    <row r="596" spans="2:6" ht="13">
      <c r="B596" s="5"/>
      <c r="C596" s="5"/>
      <c r="D596" s="5"/>
      <c r="E596" s="5"/>
      <c r="F596" s="5"/>
    </row>
    <row r="597" spans="2:6" ht="13">
      <c r="B597" s="5"/>
      <c r="C597" s="5"/>
      <c r="D597" s="5"/>
      <c r="E597" s="5"/>
      <c r="F597" s="5"/>
    </row>
    <row r="598" spans="2:6" ht="13">
      <c r="B598" s="5"/>
      <c r="C598" s="5"/>
      <c r="D598" s="5"/>
      <c r="E598" s="5"/>
      <c r="F598" s="5"/>
    </row>
    <row r="599" spans="2:6" ht="13">
      <c r="B599" s="5"/>
      <c r="C599" s="5"/>
      <c r="D599" s="5"/>
      <c r="E599" s="5"/>
      <c r="F599" s="5"/>
    </row>
    <row r="600" spans="2:6" ht="13">
      <c r="B600" s="5"/>
      <c r="C600" s="5"/>
      <c r="D600" s="5"/>
      <c r="E600" s="5"/>
      <c r="F600" s="5"/>
    </row>
    <row r="601" spans="2:6" ht="13">
      <c r="B601" s="5"/>
      <c r="C601" s="5"/>
      <c r="D601" s="5"/>
      <c r="E601" s="5"/>
      <c r="F601" s="5"/>
    </row>
    <row r="602" spans="2:6" ht="13">
      <c r="B602" s="5"/>
      <c r="C602" s="5"/>
      <c r="D602" s="5"/>
      <c r="E602" s="5"/>
      <c r="F602" s="5"/>
    </row>
    <row r="603" spans="2:6" ht="13">
      <c r="B603" s="5"/>
      <c r="C603" s="5"/>
      <c r="D603" s="5"/>
      <c r="E603" s="5"/>
      <c r="F603" s="5"/>
    </row>
    <row r="604" spans="2:6" ht="13">
      <c r="B604" s="5"/>
      <c r="C604" s="5"/>
      <c r="D604" s="5"/>
      <c r="E604" s="5"/>
      <c r="F604" s="5"/>
    </row>
    <row r="605" spans="2:6" ht="13">
      <c r="B605" s="5"/>
      <c r="C605" s="5"/>
      <c r="D605" s="5"/>
      <c r="E605" s="5"/>
      <c r="F605" s="5"/>
    </row>
    <row r="606" spans="2:6" ht="13">
      <c r="B606" s="5"/>
      <c r="C606" s="5"/>
      <c r="D606" s="5"/>
      <c r="E606" s="5"/>
      <c r="F606" s="5"/>
    </row>
    <row r="607" spans="2:6" ht="13">
      <c r="B607" s="5"/>
      <c r="C607" s="5"/>
      <c r="D607" s="5"/>
      <c r="E607" s="5"/>
      <c r="F607" s="5"/>
    </row>
    <row r="608" spans="2:6" ht="13">
      <c r="B608" s="5"/>
      <c r="C608" s="5"/>
      <c r="D608" s="5"/>
      <c r="E608" s="5"/>
      <c r="F608" s="5"/>
    </row>
    <row r="609" spans="2:6" ht="13">
      <c r="B609" s="5"/>
      <c r="C609" s="5"/>
      <c r="D609" s="5"/>
      <c r="E609" s="5"/>
      <c r="F609" s="5"/>
    </row>
    <row r="610" spans="2:6" ht="13">
      <c r="B610" s="5"/>
      <c r="C610" s="5"/>
      <c r="D610" s="5"/>
      <c r="E610" s="5"/>
      <c r="F610" s="5"/>
    </row>
    <row r="611" spans="2:6" ht="13">
      <c r="B611" s="5"/>
      <c r="C611" s="5"/>
      <c r="D611" s="5"/>
      <c r="E611" s="5"/>
      <c r="F611" s="5"/>
    </row>
    <row r="612" spans="2:6" ht="13">
      <c r="B612" s="5"/>
      <c r="C612" s="5"/>
      <c r="D612" s="5"/>
      <c r="E612" s="5"/>
      <c r="F612" s="5"/>
    </row>
    <row r="613" spans="2:6" ht="13">
      <c r="B613" s="5"/>
      <c r="C613" s="5"/>
      <c r="D613" s="5"/>
      <c r="E613" s="5"/>
      <c r="F613" s="5"/>
    </row>
    <row r="614" spans="2:6" ht="13">
      <c r="B614" s="5"/>
      <c r="C614" s="5"/>
      <c r="D614" s="5"/>
      <c r="E614" s="5"/>
      <c r="F614" s="5"/>
    </row>
    <row r="615" spans="2:6" ht="13">
      <c r="B615" s="5"/>
      <c r="C615" s="5"/>
      <c r="D615" s="5"/>
      <c r="E615" s="5"/>
      <c r="F615" s="5"/>
    </row>
    <row r="616" spans="2:6" ht="13">
      <c r="B616" s="5"/>
      <c r="C616" s="5"/>
      <c r="D616" s="5"/>
      <c r="E616" s="5"/>
      <c r="F616" s="5"/>
    </row>
    <row r="617" spans="2:6" ht="13">
      <c r="B617" s="5"/>
      <c r="C617" s="5"/>
      <c r="D617" s="5"/>
      <c r="E617" s="5"/>
      <c r="F617" s="5"/>
    </row>
    <row r="618" spans="2:6" ht="13">
      <c r="B618" s="5"/>
      <c r="C618" s="5"/>
      <c r="D618" s="5"/>
      <c r="E618" s="5"/>
      <c r="F618" s="5"/>
    </row>
    <row r="619" spans="2:6" ht="13">
      <c r="B619" s="5"/>
      <c r="C619" s="5"/>
      <c r="D619" s="5"/>
      <c r="E619" s="5"/>
      <c r="F619" s="5"/>
    </row>
    <row r="620" spans="2:6" ht="13">
      <c r="B620" s="5"/>
      <c r="C620" s="5"/>
      <c r="D620" s="5"/>
      <c r="E620" s="5"/>
      <c r="F620" s="5"/>
    </row>
    <row r="621" spans="2:6" ht="13">
      <c r="B621" s="5"/>
      <c r="C621" s="5"/>
      <c r="D621" s="5"/>
      <c r="E621" s="5"/>
      <c r="F621" s="5"/>
    </row>
    <row r="622" spans="2:6" ht="13">
      <c r="B622" s="5"/>
      <c r="C622" s="5"/>
      <c r="D622" s="5"/>
      <c r="E622" s="5"/>
      <c r="F622" s="5"/>
    </row>
    <row r="623" spans="2:6" ht="13">
      <c r="B623" s="5"/>
      <c r="C623" s="5"/>
      <c r="D623" s="5"/>
      <c r="E623" s="5"/>
      <c r="F623" s="5"/>
    </row>
    <row r="624" spans="2:6" ht="13">
      <c r="B624" s="5"/>
      <c r="C624" s="5"/>
      <c r="D624" s="5"/>
      <c r="E624" s="5"/>
      <c r="F624" s="5"/>
    </row>
    <row r="625" spans="2:6" ht="13">
      <c r="B625" s="5"/>
      <c r="C625" s="5"/>
      <c r="D625" s="5"/>
      <c r="E625" s="5"/>
      <c r="F625" s="5"/>
    </row>
    <row r="626" spans="2:6" ht="13">
      <c r="B626" s="5"/>
      <c r="C626" s="5"/>
      <c r="D626" s="5"/>
      <c r="E626" s="5"/>
      <c r="F626" s="5"/>
    </row>
    <row r="627" spans="2:6" ht="13">
      <c r="B627" s="5"/>
      <c r="C627" s="5"/>
      <c r="D627" s="5"/>
      <c r="E627" s="5"/>
      <c r="F627" s="5"/>
    </row>
    <row r="628" spans="2:6" ht="13">
      <c r="B628" s="5"/>
      <c r="C628" s="5"/>
      <c r="D628" s="5"/>
      <c r="E628" s="5"/>
      <c r="F628" s="5"/>
    </row>
    <row r="629" spans="2:6" ht="13">
      <c r="B629" s="5"/>
      <c r="C629" s="5"/>
      <c r="D629" s="5"/>
      <c r="E629" s="5"/>
      <c r="F629" s="5"/>
    </row>
    <row r="630" spans="2:6" ht="13">
      <c r="B630" s="5"/>
      <c r="C630" s="5"/>
      <c r="D630" s="5"/>
      <c r="E630" s="5"/>
      <c r="F630" s="5"/>
    </row>
    <row r="631" spans="2:6" ht="13">
      <c r="B631" s="5"/>
      <c r="C631" s="5"/>
      <c r="D631" s="5"/>
      <c r="E631" s="5"/>
      <c r="F631" s="5"/>
    </row>
    <row r="632" spans="2:6" ht="13">
      <c r="B632" s="5"/>
      <c r="C632" s="5"/>
      <c r="D632" s="5"/>
      <c r="E632" s="5"/>
      <c r="F632" s="5"/>
    </row>
    <row r="633" spans="2:6" ht="13">
      <c r="B633" s="5"/>
      <c r="C633" s="5"/>
      <c r="D633" s="5"/>
      <c r="E633" s="5"/>
      <c r="F633" s="5"/>
    </row>
    <row r="634" spans="2:6" ht="13">
      <c r="B634" s="5"/>
      <c r="C634" s="5"/>
      <c r="D634" s="5"/>
      <c r="E634" s="5"/>
      <c r="F634" s="5"/>
    </row>
    <row r="635" spans="2:6" ht="13">
      <c r="B635" s="5"/>
      <c r="C635" s="5"/>
      <c r="D635" s="5"/>
      <c r="E635" s="5"/>
      <c r="F635" s="5"/>
    </row>
    <row r="636" spans="2:6" ht="13">
      <c r="B636" s="5"/>
      <c r="C636" s="5"/>
      <c r="D636" s="5"/>
      <c r="E636" s="5"/>
      <c r="F636" s="5"/>
    </row>
    <row r="637" spans="2:6" ht="13">
      <c r="B637" s="5"/>
      <c r="C637" s="5"/>
      <c r="D637" s="5"/>
      <c r="E637" s="5"/>
      <c r="F637" s="5"/>
    </row>
    <row r="638" spans="2:6" ht="13">
      <c r="B638" s="5"/>
      <c r="C638" s="5"/>
      <c r="D638" s="5"/>
      <c r="E638" s="5"/>
      <c r="F638" s="5"/>
    </row>
    <row r="639" spans="2:6" ht="13">
      <c r="B639" s="5"/>
      <c r="C639" s="5"/>
      <c r="D639" s="5"/>
      <c r="E639" s="5"/>
      <c r="F639" s="5"/>
    </row>
    <row r="640" spans="2:6" ht="13">
      <c r="B640" s="5"/>
      <c r="C640" s="5"/>
      <c r="D640" s="5"/>
      <c r="E640" s="5"/>
      <c r="F640" s="5"/>
    </row>
    <row r="641" spans="2:6" ht="13">
      <c r="B641" s="5"/>
      <c r="C641" s="5"/>
      <c r="D641" s="5"/>
      <c r="E641" s="5"/>
      <c r="F641" s="5"/>
    </row>
    <row r="642" spans="2:6" ht="13">
      <c r="B642" s="5"/>
      <c r="C642" s="5"/>
      <c r="D642" s="5"/>
      <c r="E642" s="5"/>
      <c r="F642" s="5"/>
    </row>
    <row r="643" spans="2:6" ht="13">
      <c r="B643" s="5"/>
      <c r="C643" s="5"/>
      <c r="D643" s="5"/>
      <c r="E643" s="5"/>
      <c r="F643" s="5"/>
    </row>
    <row r="644" spans="2:6" ht="13">
      <c r="B644" s="5"/>
      <c r="C644" s="5"/>
      <c r="D644" s="5"/>
      <c r="E644" s="5"/>
      <c r="F644" s="5"/>
    </row>
    <row r="645" spans="2:6" ht="13">
      <c r="B645" s="5"/>
      <c r="C645" s="5"/>
      <c r="D645" s="5"/>
      <c r="E645" s="5"/>
      <c r="F645" s="5"/>
    </row>
    <row r="646" spans="2:6" ht="13">
      <c r="B646" s="5"/>
      <c r="C646" s="5"/>
      <c r="D646" s="5"/>
      <c r="E646" s="5"/>
      <c r="F646" s="5"/>
    </row>
    <row r="647" spans="2:6" ht="13">
      <c r="B647" s="5"/>
      <c r="C647" s="5"/>
      <c r="D647" s="5"/>
      <c r="E647" s="5"/>
      <c r="F647" s="5"/>
    </row>
    <row r="648" spans="2:6" ht="13">
      <c r="B648" s="5"/>
      <c r="C648" s="5"/>
      <c r="D648" s="5"/>
      <c r="E648" s="5"/>
      <c r="F648" s="5"/>
    </row>
    <row r="649" spans="2:6" ht="13">
      <c r="B649" s="5"/>
      <c r="C649" s="5"/>
      <c r="D649" s="5"/>
      <c r="E649" s="5"/>
      <c r="F649" s="5"/>
    </row>
    <row r="650" spans="2:6" ht="13">
      <c r="B650" s="5"/>
      <c r="C650" s="5"/>
      <c r="D650" s="5"/>
      <c r="E650" s="5"/>
      <c r="F650" s="5"/>
    </row>
    <row r="651" spans="2:6" ht="13">
      <c r="B651" s="5"/>
      <c r="C651" s="5"/>
      <c r="D651" s="5"/>
      <c r="E651" s="5"/>
      <c r="F651" s="5"/>
    </row>
    <row r="652" spans="2:6" ht="13">
      <c r="B652" s="5"/>
      <c r="C652" s="5"/>
      <c r="D652" s="5"/>
      <c r="E652" s="5"/>
      <c r="F652" s="5"/>
    </row>
    <row r="653" spans="2:6" ht="13">
      <c r="B653" s="5"/>
      <c r="C653" s="5"/>
      <c r="D653" s="5"/>
      <c r="E653" s="5"/>
      <c r="F653" s="5"/>
    </row>
    <row r="654" spans="2:6" ht="13">
      <c r="B654" s="5"/>
      <c r="C654" s="5"/>
      <c r="D654" s="5"/>
      <c r="E654" s="5"/>
      <c r="F654" s="5"/>
    </row>
    <row r="655" spans="2:6" ht="13">
      <c r="B655" s="5"/>
      <c r="C655" s="5"/>
      <c r="D655" s="5"/>
      <c r="E655" s="5"/>
      <c r="F655" s="5"/>
    </row>
    <row r="656" spans="2:6" ht="13">
      <c r="B656" s="5"/>
      <c r="C656" s="5"/>
      <c r="D656" s="5"/>
      <c r="E656" s="5"/>
      <c r="F656" s="5"/>
    </row>
    <row r="657" spans="2:6" ht="13">
      <c r="B657" s="5"/>
      <c r="C657" s="5"/>
      <c r="D657" s="5"/>
      <c r="E657" s="5"/>
      <c r="F657" s="5"/>
    </row>
    <row r="658" spans="2:6" ht="13">
      <c r="B658" s="5"/>
      <c r="C658" s="5"/>
      <c r="D658" s="5"/>
      <c r="E658" s="5"/>
      <c r="F658" s="5"/>
    </row>
    <row r="659" spans="2:6" ht="13">
      <c r="B659" s="5"/>
      <c r="C659" s="5"/>
      <c r="D659" s="5"/>
      <c r="E659" s="5"/>
      <c r="F659" s="5"/>
    </row>
    <row r="660" spans="2:6" ht="13">
      <c r="B660" s="5"/>
      <c r="C660" s="5"/>
      <c r="D660" s="5"/>
      <c r="E660" s="5"/>
      <c r="F660" s="5"/>
    </row>
    <row r="661" spans="2:6" ht="13">
      <c r="B661" s="5"/>
      <c r="C661" s="5"/>
      <c r="D661" s="5"/>
      <c r="E661" s="5"/>
      <c r="F661" s="5"/>
    </row>
    <row r="662" spans="2:6" ht="13">
      <c r="B662" s="5"/>
      <c r="C662" s="5"/>
      <c r="D662" s="5"/>
      <c r="E662" s="5"/>
      <c r="F662" s="5"/>
    </row>
    <row r="663" spans="2:6" ht="13">
      <c r="B663" s="5"/>
      <c r="C663" s="5"/>
      <c r="D663" s="5"/>
      <c r="E663" s="5"/>
      <c r="F663" s="5"/>
    </row>
    <row r="664" spans="2:6" ht="13">
      <c r="B664" s="5"/>
      <c r="C664" s="5"/>
      <c r="D664" s="5"/>
      <c r="E664" s="5"/>
      <c r="F664" s="5"/>
    </row>
    <row r="665" spans="2:6" ht="13">
      <c r="B665" s="5"/>
      <c r="C665" s="5"/>
      <c r="D665" s="5"/>
      <c r="E665" s="5"/>
      <c r="F665" s="5"/>
    </row>
    <row r="666" spans="2:6" ht="13">
      <c r="B666" s="5"/>
      <c r="C666" s="5"/>
      <c r="D666" s="5"/>
      <c r="E666" s="5"/>
      <c r="F666" s="5"/>
    </row>
    <row r="667" spans="2:6" ht="13">
      <c r="B667" s="5"/>
      <c r="C667" s="5"/>
      <c r="D667" s="5"/>
      <c r="E667" s="5"/>
      <c r="F667" s="5"/>
    </row>
    <row r="668" spans="2:6" ht="13">
      <c r="B668" s="5"/>
      <c r="C668" s="5"/>
      <c r="D668" s="5"/>
      <c r="E668" s="5"/>
      <c r="F668" s="5"/>
    </row>
    <row r="669" spans="2:6" ht="13">
      <c r="B669" s="5"/>
      <c r="C669" s="5"/>
      <c r="D669" s="5"/>
      <c r="E669" s="5"/>
      <c r="F669" s="5"/>
    </row>
    <row r="670" spans="2:6" ht="13">
      <c r="B670" s="5"/>
      <c r="C670" s="5"/>
      <c r="D670" s="5"/>
      <c r="E670" s="5"/>
      <c r="F670" s="5"/>
    </row>
    <row r="671" spans="2:6" ht="13">
      <c r="B671" s="5"/>
      <c r="C671" s="5"/>
      <c r="D671" s="5"/>
      <c r="E671" s="5"/>
      <c r="F671" s="5"/>
    </row>
    <row r="672" spans="2:6" ht="13">
      <c r="B672" s="5"/>
      <c r="C672" s="5"/>
      <c r="D672" s="5"/>
      <c r="E672" s="5"/>
      <c r="F672" s="5"/>
    </row>
    <row r="673" spans="2:6" ht="13">
      <c r="B673" s="5"/>
      <c r="C673" s="5"/>
      <c r="D673" s="5"/>
      <c r="E673" s="5"/>
      <c r="F673" s="5"/>
    </row>
    <row r="674" spans="2:6" ht="13">
      <c r="B674" s="5"/>
      <c r="C674" s="5"/>
      <c r="D674" s="5"/>
      <c r="E674" s="5"/>
      <c r="F674" s="5"/>
    </row>
    <row r="675" spans="2:6" ht="13">
      <c r="B675" s="5"/>
      <c r="C675" s="5"/>
      <c r="D675" s="5"/>
      <c r="E675" s="5"/>
      <c r="F675" s="5"/>
    </row>
    <row r="676" spans="2:6" ht="13">
      <c r="B676" s="5"/>
      <c r="C676" s="5"/>
      <c r="D676" s="5"/>
      <c r="E676" s="5"/>
      <c r="F676" s="5"/>
    </row>
    <row r="677" spans="2:6" ht="13">
      <c r="B677" s="5"/>
      <c r="C677" s="5"/>
      <c r="D677" s="5"/>
      <c r="E677" s="5"/>
      <c r="F677" s="5"/>
    </row>
    <row r="678" spans="2:6" ht="13">
      <c r="B678" s="5"/>
      <c r="C678" s="5"/>
      <c r="D678" s="5"/>
      <c r="E678" s="5"/>
      <c r="F678" s="5"/>
    </row>
    <row r="679" spans="2:6" ht="13">
      <c r="B679" s="5"/>
      <c r="C679" s="5"/>
      <c r="D679" s="5"/>
      <c r="E679" s="5"/>
      <c r="F679" s="5"/>
    </row>
    <row r="680" spans="2:6" ht="13">
      <c r="B680" s="5"/>
      <c r="C680" s="5"/>
      <c r="D680" s="5"/>
      <c r="E680" s="5"/>
      <c r="F680" s="5"/>
    </row>
    <row r="681" spans="2:6" ht="13">
      <c r="B681" s="5"/>
      <c r="C681" s="5"/>
      <c r="D681" s="5"/>
      <c r="E681" s="5"/>
      <c r="F681" s="5"/>
    </row>
    <row r="682" spans="2:6" ht="13">
      <c r="B682" s="5"/>
      <c r="C682" s="5"/>
      <c r="D682" s="5"/>
      <c r="E682" s="5"/>
      <c r="F682" s="5"/>
    </row>
    <row r="683" spans="2:6" ht="13">
      <c r="B683" s="5"/>
      <c r="C683" s="5"/>
      <c r="D683" s="5"/>
      <c r="E683" s="5"/>
      <c r="F683" s="5"/>
    </row>
    <row r="684" spans="2:6" ht="13">
      <c r="B684" s="5"/>
      <c r="C684" s="5"/>
      <c r="D684" s="5"/>
      <c r="E684" s="5"/>
      <c r="F684" s="5"/>
    </row>
    <row r="685" spans="2:6" ht="13">
      <c r="B685" s="5"/>
      <c r="C685" s="5"/>
      <c r="D685" s="5"/>
      <c r="E685" s="5"/>
      <c r="F685" s="5"/>
    </row>
    <row r="686" spans="2:6" ht="13">
      <c r="B686" s="5"/>
      <c r="C686" s="5"/>
      <c r="D686" s="5"/>
      <c r="E686" s="5"/>
      <c r="F686" s="5"/>
    </row>
    <row r="687" spans="2:6" ht="13">
      <c r="B687" s="5"/>
      <c r="C687" s="5"/>
      <c r="D687" s="5"/>
      <c r="E687" s="5"/>
      <c r="F687" s="5"/>
    </row>
    <row r="688" spans="2:6" ht="13">
      <c r="B688" s="5"/>
      <c r="C688" s="5"/>
      <c r="D688" s="5"/>
      <c r="E688" s="5"/>
      <c r="F688" s="5"/>
    </row>
    <row r="689" spans="2:6" ht="13">
      <c r="B689" s="5"/>
      <c r="C689" s="5"/>
      <c r="D689" s="5"/>
      <c r="E689" s="5"/>
      <c r="F689" s="5"/>
    </row>
    <row r="690" spans="2:6" ht="13">
      <c r="B690" s="5"/>
      <c r="C690" s="5"/>
      <c r="D690" s="5"/>
      <c r="E690" s="5"/>
      <c r="F690" s="5"/>
    </row>
    <row r="691" spans="2:6" ht="13">
      <c r="B691" s="5"/>
      <c r="C691" s="5"/>
      <c r="D691" s="5"/>
      <c r="E691" s="5"/>
      <c r="F691" s="5"/>
    </row>
    <row r="692" spans="2:6" ht="13">
      <c r="B692" s="5"/>
      <c r="C692" s="5"/>
      <c r="D692" s="5"/>
      <c r="E692" s="5"/>
      <c r="F692" s="5"/>
    </row>
    <row r="693" spans="2:6" ht="13">
      <c r="B693" s="5"/>
      <c r="C693" s="5"/>
      <c r="D693" s="5"/>
      <c r="E693" s="5"/>
      <c r="F693" s="5"/>
    </row>
    <row r="694" spans="2:6" ht="13">
      <c r="B694" s="5"/>
      <c r="C694" s="5"/>
      <c r="D694" s="5"/>
      <c r="E694" s="5"/>
      <c r="F694" s="5"/>
    </row>
    <row r="695" spans="2:6" ht="13">
      <c r="B695" s="5"/>
      <c r="C695" s="5"/>
      <c r="D695" s="5"/>
      <c r="E695" s="5"/>
      <c r="F695" s="5"/>
    </row>
    <row r="696" spans="2:6" ht="13">
      <c r="B696" s="5"/>
      <c r="C696" s="5"/>
      <c r="D696" s="5"/>
      <c r="E696" s="5"/>
      <c r="F696" s="5"/>
    </row>
    <row r="697" spans="2:6" ht="13">
      <c r="B697" s="5"/>
      <c r="C697" s="5"/>
      <c r="D697" s="5"/>
      <c r="E697" s="5"/>
      <c r="F697" s="5"/>
    </row>
    <row r="698" spans="2:6" ht="13">
      <c r="B698" s="5"/>
      <c r="C698" s="5"/>
      <c r="D698" s="5"/>
      <c r="E698" s="5"/>
      <c r="F698" s="5"/>
    </row>
    <row r="699" spans="2:6" ht="13">
      <c r="B699" s="5"/>
      <c r="C699" s="5"/>
      <c r="D699" s="5"/>
      <c r="E699" s="5"/>
      <c r="F699" s="5"/>
    </row>
    <row r="700" spans="2:6" ht="13">
      <c r="B700" s="5"/>
      <c r="C700" s="5"/>
      <c r="D700" s="5"/>
      <c r="E700" s="5"/>
      <c r="F700" s="5"/>
    </row>
    <row r="701" spans="2:6" ht="13">
      <c r="B701" s="5"/>
      <c r="C701" s="5"/>
      <c r="D701" s="5"/>
      <c r="E701" s="5"/>
      <c r="F701" s="5"/>
    </row>
    <row r="702" spans="2:6" ht="13">
      <c r="B702" s="5"/>
      <c r="C702" s="5"/>
      <c r="D702" s="5"/>
      <c r="E702" s="5"/>
      <c r="F702" s="5"/>
    </row>
    <row r="703" spans="2:6" ht="13">
      <c r="B703" s="5"/>
      <c r="C703" s="5"/>
      <c r="D703" s="5"/>
      <c r="E703" s="5"/>
      <c r="F703" s="5"/>
    </row>
    <row r="704" spans="2:6" ht="13">
      <c r="B704" s="5"/>
      <c r="C704" s="5"/>
      <c r="D704" s="5"/>
      <c r="E704" s="5"/>
      <c r="F704" s="5"/>
    </row>
    <row r="705" spans="2:6" ht="13">
      <c r="B705" s="5"/>
      <c r="C705" s="5"/>
      <c r="D705" s="5"/>
      <c r="E705" s="5"/>
      <c r="F705" s="5"/>
    </row>
    <row r="706" spans="2:6" ht="13">
      <c r="B706" s="5"/>
      <c r="C706" s="5"/>
      <c r="D706" s="5"/>
      <c r="E706" s="5"/>
      <c r="F706" s="5"/>
    </row>
    <row r="707" spans="2:6" ht="13">
      <c r="B707" s="5"/>
      <c r="C707" s="5"/>
      <c r="D707" s="5"/>
      <c r="E707" s="5"/>
      <c r="F707" s="5"/>
    </row>
    <row r="708" spans="2:6" ht="13">
      <c r="B708" s="5"/>
      <c r="C708" s="5"/>
      <c r="D708" s="5"/>
      <c r="E708" s="5"/>
      <c r="F708" s="5"/>
    </row>
    <row r="709" spans="2:6" ht="13">
      <c r="B709" s="5"/>
      <c r="C709" s="5"/>
      <c r="D709" s="5"/>
      <c r="E709" s="5"/>
      <c r="F709" s="5"/>
    </row>
    <row r="710" spans="2:6" ht="13">
      <c r="B710" s="5"/>
      <c r="C710" s="5"/>
      <c r="D710" s="5"/>
      <c r="E710" s="5"/>
      <c r="F710" s="5"/>
    </row>
    <row r="711" spans="2:6" ht="13">
      <c r="B711" s="5"/>
      <c r="C711" s="5"/>
      <c r="D711" s="5"/>
      <c r="E711" s="5"/>
      <c r="F711" s="5"/>
    </row>
    <row r="712" spans="2:6" ht="13">
      <c r="B712" s="5"/>
      <c r="C712" s="5"/>
      <c r="D712" s="5"/>
      <c r="E712" s="5"/>
      <c r="F712" s="5"/>
    </row>
    <row r="713" spans="2:6" ht="13">
      <c r="B713" s="5"/>
      <c r="C713" s="5"/>
      <c r="D713" s="5"/>
      <c r="E713" s="5"/>
      <c r="F713" s="5"/>
    </row>
    <row r="714" spans="2:6" ht="13">
      <c r="B714" s="5"/>
      <c r="C714" s="5"/>
      <c r="D714" s="5"/>
      <c r="E714" s="5"/>
      <c r="F714" s="5"/>
    </row>
    <row r="715" spans="2:6" ht="13">
      <c r="B715" s="5"/>
      <c r="C715" s="5"/>
      <c r="D715" s="5"/>
      <c r="E715" s="5"/>
      <c r="F715" s="5"/>
    </row>
    <row r="716" spans="2:6" ht="13">
      <c r="B716" s="5"/>
      <c r="C716" s="5"/>
      <c r="D716" s="5"/>
      <c r="E716" s="5"/>
      <c r="F716" s="5"/>
    </row>
    <row r="717" spans="2:6" ht="13">
      <c r="B717" s="5"/>
      <c r="C717" s="5"/>
      <c r="D717" s="5"/>
      <c r="E717" s="5"/>
      <c r="F717" s="5"/>
    </row>
    <row r="718" spans="2:6" ht="13">
      <c r="B718" s="5"/>
      <c r="C718" s="5"/>
      <c r="D718" s="5"/>
      <c r="E718" s="5"/>
      <c r="F718" s="5"/>
    </row>
    <row r="719" spans="2:6" ht="13">
      <c r="B719" s="5"/>
      <c r="C719" s="5"/>
      <c r="D719" s="5"/>
      <c r="E719" s="5"/>
      <c r="F719" s="5"/>
    </row>
    <row r="720" spans="2:6" ht="13">
      <c r="B720" s="5"/>
      <c r="C720" s="5"/>
      <c r="D720" s="5"/>
      <c r="E720" s="5"/>
      <c r="F720" s="5"/>
    </row>
    <row r="721" spans="2:6" ht="13">
      <c r="B721" s="5"/>
      <c r="C721" s="5"/>
      <c r="D721" s="5"/>
      <c r="E721" s="5"/>
      <c r="F721" s="5"/>
    </row>
    <row r="722" spans="2:6" ht="13">
      <c r="B722" s="5"/>
      <c r="C722" s="5"/>
      <c r="D722" s="5"/>
      <c r="E722" s="5"/>
      <c r="F722" s="5"/>
    </row>
    <row r="723" spans="2:6" ht="13">
      <c r="B723" s="5"/>
      <c r="C723" s="5"/>
      <c r="D723" s="5"/>
      <c r="E723" s="5"/>
      <c r="F723" s="5"/>
    </row>
    <row r="724" spans="2:6" ht="13">
      <c r="B724" s="5"/>
      <c r="C724" s="5"/>
      <c r="D724" s="5"/>
      <c r="E724" s="5"/>
      <c r="F724" s="5"/>
    </row>
    <row r="725" spans="2:6" ht="13">
      <c r="B725" s="5"/>
      <c r="C725" s="5"/>
      <c r="D725" s="5"/>
      <c r="E725" s="5"/>
      <c r="F725" s="5"/>
    </row>
    <row r="726" spans="2:6" ht="13">
      <c r="B726" s="5"/>
      <c r="C726" s="5"/>
      <c r="D726" s="5"/>
      <c r="E726" s="5"/>
      <c r="F726" s="5"/>
    </row>
    <row r="727" spans="2:6" ht="13">
      <c r="B727" s="5"/>
      <c r="C727" s="5"/>
      <c r="D727" s="5"/>
      <c r="E727" s="5"/>
      <c r="F727" s="5"/>
    </row>
    <row r="728" spans="2:6" ht="13">
      <c r="B728" s="5"/>
      <c r="C728" s="5"/>
      <c r="D728" s="5"/>
      <c r="E728" s="5"/>
      <c r="F728" s="5"/>
    </row>
    <row r="729" spans="2:6" ht="13">
      <c r="B729" s="5"/>
      <c r="C729" s="5"/>
      <c r="D729" s="5"/>
      <c r="E729" s="5"/>
      <c r="F729" s="5"/>
    </row>
    <row r="730" spans="2:6" ht="13">
      <c r="B730" s="5"/>
      <c r="C730" s="5"/>
      <c r="D730" s="5"/>
      <c r="E730" s="5"/>
      <c r="F730" s="5"/>
    </row>
    <row r="731" spans="2:6" ht="13">
      <c r="B731" s="5"/>
      <c r="C731" s="5"/>
      <c r="D731" s="5"/>
      <c r="E731" s="5"/>
      <c r="F731" s="5"/>
    </row>
    <row r="732" spans="2:6" ht="13">
      <c r="B732" s="5"/>
      <c r="C732" s="5"/>
      <c r="D732" s="5"/>
      <c r="E732" s="5"/>
      <c r="F732" s="5"/>
    </row>
    <row r="733" spans="2:6" ht="13">
      <c r="B733" s="5"/>
      <c r="C733" s="5"/>
      <c r="D733" s="5"/>
      <c r="E733" s="5"/>
      <c r="F733" s="5"/>
    </row>
    <row r="734" spans="2:6" ht="13">
      <c r="B734" s="5"/>
      <c r="C734" s="5"/>
      <c r="D734" s="5"/>
      <c r="E734" s="5"/>
      <c r="F734" s="5"/>
    </row>
    <row r="735" spans="2:6" ht="13">
      <c r="B735" s="5"/>
      <c r="C735" s="5"/>
      <c r="D735" s="5"/>
      <c r="E735" s="5"/>
      <c r="F735" s="5"/>
    </row>
    <row r="736" spans="2:6" ht="13">
      <c r="B736" s="5"/>
      <c r="C736" s="5"/>
      <c r="D736" s="5"/>
      <c r="E736" s="5"/>
      <c r="F736" s="5"/>
    </row>
    <row r="737" spans="2:6" ht="13">
      <c r="B737" s="5"/>
      <c r="C737" s="5"/>
      <c r="D737" s="5"/>
      <c r="E737" s="5"/>
      <c r="F737" s="5"/>
    </row>
    <row r="738" spans="2:6" ht="13">
      <c r="B738" s="5"/>
      <c r="C738" s="5"/>
      <c r="D738" s="5"/>
      <c r="E738" s="5"/>
      <c r="F738" s="5"/>
    </row>
    <row r="739" spans="2:6" ht="13">
      <c r="B739" s="5"/>
      <c r="C739" s="5"/>
      <c r="D739" s="5"/>
      <c r="E739" s="5"/>
      <c r="F739" s="5"/>
    </row>
    <row r="740" spans="2:6" ht="13">
      <c r="B740" s="5"/>
      <c r="C740" s="5"/>
      <c r="D740" s="5"/>
      <c r="E740" s="5"/>
      <c r="F740" s="5"/>
    </row>
    <row r="741" spans="2:6" ht="13">
      <c r="B741" s="5"/>
      <c r="C741" s="5"/>
      <c r="D741" s="5"/>
      <c r="E741" s="5"/>
      <c r="F741" s="5"/>
    </row>
    <row r="742" spans="2:6" ht="13">
      <c r="B742" s="5"/>
      <c r="C742" s="5"/>
      <c r="D742" s="5"/>
      <c r="E742" s="5"/>
      <c r="F742" s="5"/>
    </row>
    <row r="743" spans="2:6" ht="13">
      <c r="B743" s="5"/>
      <c r="C743" s="5"/>
      <c r="D743" s="5"/>
      <c r="E743" s="5"/>
      <c r="F743" s="5"/>
    </row>
    <row r="744" spans="2:6" ht="13">
      <c r="B744" s="5"/>
      <c r="C744" s="5"/>
      <c r="D744" s="5"/>
      <c r="E744" s="5"/>
      <c r="F744" s="5"/>
    </row>
    <row r="745" spans="2:6" ht="13">
      <c r="B745" s="5"/>
      <c r="C745" s="5"/>
      <c r="D745" s="5"/>
      <c r="E745" s="5"/>
      <c r="F745" s="5"/>
    </row>
    <row r="746" spans="2:6" ht="13">
      <c r="B746" s="5"/>
      <c r="C746" s="5"/>
      <c r="D746" s="5"/>
      <c r="E746" s="5"/>
      <c r="F746" s="5"/>
    </row>
    <row r="747" spans="2:6" ht="13">
      <c r="B747" s="5"/>
      <c r="C747" s="5"/>
      <c r="D747" s="5"/>
      <c r="E747" s="5"/>
      <c r="F747" s="5"/>
    </row>
    <row r="748" spans="2:6" ht="13">
      <c r="B748" s="5"/>
      <c r="C748" s="5"/>
      <c r="D748" s="5"/>
      <c r="E748" s="5"/>
      <c r="F748" s="5"/>
    </row>
    <row r="749" spans="2:6" ht="13">
      <c r="B749" s="5"/>
      <c r="C749" s="5"/>
      <c r="D749" s="5"/>
      <c r="E749" s="5"/>
      <c r="F749" s="5"/>
    </row>
    <row r="750" spans="2:6" ht="13">
      <c r="B750" s="5"/>
      <c r="C750" s="5"/>
      <c r="D750" s="5"/>
      <c r="E750" s="5"/>
      <c r="F750" s="5"/>
    </row>
    <row r="751" spans="2:6" ht="13">
      <c r="B751" s="5"/>
      <c r="C751" s="5"/>
      <c r="D751" s="5"/>
      <c r="E751" s="5"/>
      <c r="F751" s="5"/>
    </row>
    <row r="752" spans="2:6" ht="13">
      <c r="B752" s="5"/>
      <c r="C752" s="5"/>
      <c r="D752" s="5"/>
      <c r="E752" s="5"/>
      <c r="F752" s="5"/>
    </row>
    <row r="753" spans="2:6" ht="13">
      <c r="B753" s="5"/>
      <c r="C753" s="5"/>
      <c r="D753" s="5"/>
      <c r="E753" s="5"/>
      <c r="F753" s="5"/>
    </row>
    <row r="754" spans="2:6" ht="13">
      <c r="B754" s="5"/>
      <c r="C754" s="5"/>
      <c r="D754" s="5"/>
      <c r="E754" s="5"/>
      <c r="F754" s="5"/>
    </row>
    <row r="755" spans="2:6" ht="13">
      <c r="B755" s="5"/>
      <c r="C755" s="5"/>
      <c r="D755" s="5"/>
      <c r="E755" s="5"/>
      <c r="F755" s="5"/>
    </row>
    <row r="756" spans="2:6" ht="13">
      <c r="B756" s="5"/>
      <c r="C756" s="5"/>
      <c r="D756" s="5"/>
      <c r="E756" s="5"/>
      <c r="F756" s="5"/>
    </row>
    <row r="757" spans="2:6" ht="13">
      <c r="B757" s="5"/>
      <c r="C757" s="5"/>
      <c r="D757" s="5"/>
      <c r="E757" s="5"/>
      <c r="F757" s="5"/>
    </row>
    <row r="758" spans="2:6" ht="13">
      <c r="B758" s="5"/>
      <c r="C758" s="5"/>
      <c r="D758" s="5"/>
      <c r="E758" s="5"/>
      <c r="F758" s="5"/>
    </row>
    <row r="759" spans="2:6" ht="13">
      <c r="B759" s="5"/>
      <c r="C759" s="5"/>
      <c r="D759" s="5"/>
      <c r="E759" s="5"/>
      <c r="F759" s="5"/>
    </row>
    <row r="760" spans="2:6" ht="13">
      <c r="B760" s="5"/>
      <c r="C760" s="5"/>
      <c r="D760" s="5"/>
      <c r="E760" s="5"/>
      <c r="F760" s="5"/>
    </row>
    <row r="761" spans="2:6" ht="13">
      <c r="B761" s="5"/>
      <c r="C761" s="5"/>
      <c r="D761" s="5"/>
      <c r="E761" s="5"/>
      <c r="F761" s="5"/>
    </row>
    <row r="762" spans="2:6" ht="13">
      <c r="B762" s="5"/>
      <c r="C762" s="5"/>
      <c r="D762" s="5"/>
      <c r="E762" s="5"/>
      <c r="F762" s="5"/>
    </row>
    <row r="763" spans="2:6" ht="13">
      <c r="B763" s="5"/>
      <c r="C763" s="5"/>
      <c r="D763" s="5"/>
      <c r="E763" s="5"/>
      <c r="F763" s="5"/>
    </row>
    <row r="764" spans="2:6" ht="13">
      <c r="B764" s="5"/>
      <c r="C764" s="5"/>
      <c r="D764" s="5"/>
      <c r="E764" s="5"/>
      <c r="F764" s="5"/>
    </row>
    <row r="765" spans="2:6" ht="13">
      <c r="B765" s="5"/>
      <c r="C765" s="5"/>
      <c r="D765" s="5"/>
      <c r="E765" s="5"/>
      <c r="F765" s="5"/>
    </row>
    <row r="766" spans="2:6" ht="13">
      <c r="B766" s="5"/>
      <c r="C766" s="5"/>
      <c r="D766" s="5"/>
      <c r="E766" s="5"/>
      <c r="F766" s="5"/>
    </row>
    <row r="767" spans="2:6" ht="13">
      <c r="B767" s="5"/>
      <c r="C767" s="5"/>
      <c r="D767" s="5"/>
      <c r="E767" s="5"/>
      <c r="F767" s="5"/>
    </row>
    <row r="768" spans="2:6" ht="13">
      <c r="B768" s="5"/>
      <c r="C768" s="5"/>
      <c r="D768" s="5"/>
      <c r="E768" s="5"/>
      <c r="F768" s="5"/>
    </row>
    <row r="769" spans="2:6" ht="13">
      <c r="B769" s="5"/>
      <c r="C769" s="5"/>
      <c r="D769" s="5"/>
      <c r="E769" s="5"/>
      <c r="F769" s="5"/>
    </row>
    <row r="770" spans="2:6" ht="13">
      <c r="B770" s="5"/>
      <c r="C770" s="5"/>
      <c r="D770" s="5"/>
      <c r="E770" s="5"/>
      <c r="F770" s="5"/>
    </row>
    <row r="771" spans="2:6" ht="13">
      <c r="B771" s="5"/>
      <c r="C771" s="5"/>
      <c r="D771" s="5"/>
      <c r="E771" s="5"/>
      <c r="F771" s="5"/>
    </row>
    <row r="772" spans="2:6" ht="13">
      <c r="B772" s="5"/>
      <c r="C772" s="5"/>
      <c r="D772" s="5"/>
      <c r="E772" s="5"/>
      <c r="F772" s="5"/>
    </row>
    <row r="773" spans="2:6" ht="13">
      <c r="B773" s="5"/>
      <c r="C773" s="5"/>
      <c r="D773" s="5"/>
      <c r="E773" s="5"/>
      <c r="F773" s="5"/>
    </row>
    <row r="774" spans="2:6" ht="13">
      <c r="B774" s="5"/>
      <c r="C774" s="5"/>
      <c r="D774" s="5"/>
      <c r="E774" s="5"/>
      <c r="F774" s="5"/>
    </row>
    <row r="775" spans="2:6" ht="13">
      <c r="B775" s="5"/>
      <c r="C775" s="5"/>
      <c r="D775" s="5"/>
      <c r="E775" s="5"/>
      <c r="F775" s="5"/>
    </row>
    <row r="776" spans="2:6" ht="13">
      <c r="B776" s="5"/>
      <c r="C776" s="5"/>
      <c r="D776" s="5"/>
      <c r="E776" s="5"/>
      <c r="F776" s="5"/>
    </row>
    <row r="777" spans="2:6" ht="13">
      <c r="B777" s="5"/>
      <c r="C777" s="5"/>
      <c r="D777" s="5"/>
      <c r="E777" s="5"/>
      <c r="F777" s="5"/>
    </row>
    <row r="778" spans="2:6" ht="13">
      <c r="B778" s="5"/>
      <c r="C778" s="5"/>
      <c r="D778" s="5"/>
      <c r="E778" s="5"/>
      <c r="F778" s="5"/>
    </row>
    <row r="779" spans="2:6" ht="13">
      <c r="B779" s="5"/>
      <c r="C779" s="5"/>
      <c r="D779" s="5"/>
      <c r="E779" s="5"/>
      <c r="F779" s="5"/>
    </row>
    <row r="780" spans="2:6" ht="13">
      <c r="B780" s="5"/>
      <c r="C780" s="5"/>
      <c r="D780" s="5"/>
      <c r="E780" s="5"/>
      <c r="F780" s="5"/>
    </row>
    <row r="781" spans="2:6" ht="13">
      <c r="B781" s="5"/>
      <c r="C781" s="5"/>
      <c r="D781" s="5"/>
      <c r="E781" s="5"/>
      <c r="F781" s="5"/>
    </row>
    <row r="782" spans="2:6" ht="13">
      <c r="B782" s="5"/>
      <c r="C782" s="5"/>
      <c r="D782" s="5"/>
      <c r="E782" s="5"/>
      <c r="F782" s="5"/>
    </row>
    <row r="783" spans="2:6" ht="13">
      <c r="B783" s="5"/>
      <c r="C783" s="5"/>
      <c r="D783" s="5"/>
      <c r="E783" s="5"/>
      <c r="F783" s="5"/>
    </row>
    <row r="784" spans="2:6" ht="13">
      <c r="B784" s="5"/>
      <c r="C784" s="5"/>
      <c r="D784" s="5"/>
      <c r="E784" s="5"/>
      <c r="F784" s="5"/>
    </row>
    <row r="785" spans="2:6" ht="13">
      <c r="B785" s="5"/>
      <c r="C785" s="5"/>
      <c r="D785" s="5"/>
      <c r="E785" s="5"/>
      <c r="F785" s="5"/>
    </row>
    <row r="786" spans="2:6" ht="13">
      <c r="B786" s="5"/>
      <c r="C786" s="5"/>
      <c r="D786" s="5"/>
      <c r="E786" s="5"/>
      <c r="F786" s="5"/>
    </row>
    <row r="787" spans="2:6" ht="13">
      <c r="B787" s="5"/>
      <c r="C787" s="5"/>
      <c r="D787" s="5"/>
      <c r="E787" s="5"/>
      <c r="F787" s="5"/>
    </row>
    <row r="788" spans="2:6" ht="13">
      <c r="B788" s="5"/>
      <c r="C788" s="5"/>
      <c r="D788" s="5"/>
      <c r="E788" s="5"/>
      <c r="F788" s="5"/>
    </row>
    <row r="789" spans="2:6" ht="13">
      <c r="B789" s="5"/>
      <c r="C789" s="5"/>
      <c r="D789" s="5"/>
      <c r="E789" s="5"/>
      <c r="F789" s="5"/>
    </row>
    <row r="790" spans="2:6" ht="13">
      <c r="B790" s="5"/>
      <c r="C790" s="5"/>
      <c r="D790" s="5"/>
      <c r="E790" s="5"/>
      <c r="F790" s="5"/>
    </row>
    <row r="791" spans="2:6" ht="13">
      <c r="B791" s="5"/>
      <c r="C791" s="5"/>
      <c r="D791" s="5"/>
      <c r="E791" s="5"/>
      <c r="F791" s="5"/>
    </row>
    <row r="792" spans="2:6" ht="13">
      <c r="B792" s="5"/>
      <c r="C792" s="5"/>
      <c r="D792" s="5"/>
      <c r="E792" s="5"/>
      <c r="F792" s="5"/>
    </row>
    <row r="793" spans="2:6" ht="13">
      <c r="B793" s="5"/>
      <c r="C793" s="5"/>
      <c r="D793" s="5"/>
      <c r="E793" s="5"/>
      <c r="F793" s="5"/>
    </row>
    <row r="794" spans="2:6" ht="13">
      <c r="B794" s="5"/>
      <c r="C794" s="5"/>
      <c r="D794" s="5"/>
      <c r="E794" s="5"/>
      <c r="F794" s="5"/>
    </row>
    <row r="795" spans="2:6" ht="13">
      <c r="B795" s="5"/>
      <c r="C795" s="5"/>
      <c r="D795" s="5"/>
      <c r="E795" s="5"/>
      <c r="F795" s="5"/>
    </row>
    <row r="796" spans="2:6" ht="13">
      <c r="B796" s="5"/>
      <c r="C796" s="5"/>
      <c r="D796" s="5"/>
      <c r="E796" s="5"/>
      <c r="F796" s="5"/>
    </row>
    <row r="797" spans="2:6" ht="13">
      <c r="B797" s="5"/>
      <c r="C797" s="5"/>
      <c r="D797" s="5"/>
      <c r="E797" s="5"/>
      <c r="F797" s="5"/>
    </row>
    <row r="798" spans="2:6" ht="13">
      <c r="B798" s="5"/>
      <c r="C798" s="5"/>
      <c r="D798" s="5"/>
      <c r="E798" s="5"/>
      <c r="F798" s="5"/>
    </row>
    <row r="799" spans="2:6" ht="13">
      <c r="B799" s="5"/>
      <c r="C799" s="5"/>
      <c r="D799" s="5"/>
      <c r="E799" s="5"/>
      <c r="F799" s="5"/>
    </row>
    <row r="800" spans="2:6" ht="13">
      <c r="B800" s="5"/>
      <c r="C800" s="5"/>
      <c r="D800" s="5"/>
      <c r="E800" s="5"/>
      <c r="F800" s="5"/>
    </row>
    <row r="801" spans="2:6" ht="13">
      <c r="B801" s="5"/>
      <c r="C801" s="5"/>
      <c r="D801" s="5"/>
      <c r="E801" s="5"/>
      <c r="F801" s="5"/>
    </row>
    <row r="802" spans="2:6" ht="13">
      <c r="B802" s="5"/>
      <c r="C802" s="5"/>
      <c r="D802" s="5"/>
      <c r="E802" s="5"/>
      <c r="F802" s="5"/>
    </row>
    <row r="803" spans="2:6" ht="13">
      <c r="B803" s="5"/>
      <c r="C803" s="5"/>
      <c r="D803" s="5"/>
      <c r="E803" s="5"/>
      <c r="F803" s="5"/>
    </row>
    <row r="804" spans="2:6" ht="13">
      <c r="B804" s="5"/>
      <c r="C804" s="5"/>
      <c r="D804" s="5"/>
      <c r="E804" s="5"/>
      <c r="F804" s="5"/>
    </row>
    <row r="805" spans="2:6" ht="13">
      <c r="B805" s="5"/>
      <c r="C805" s="5"/>
      <c r="D805" s="5"/>
      <c r="E805" s="5"/>
      <c r="F805" s="5"/>
    </row>
    <row r="806" spans="2:6" ht="13">
      <c r="B806" s="5"/>
      <c r="C806" s="5"/>
      <c r="D806" s="5"/>
      <c r="E806" s="5"/>
      <c r="F806" s="5"/>
    </row>
    <row r="807" spans="2:6" ht="13">
      <c r="B807" s="5"/>
      <c r="C807" s="5"/>
      <c r="D807" s="5"/>
      <c r="E807" s="5"/>
      <c r="F807" s="5"/>
    </row>
    <row r="808" spans="2:6" ht="13">
      <c r="B808" s="5"/>
      <c r="C808" s="5"/>
      <c r="D808" s="5"/>
      <c r="E808" s="5"/>
      <c r="F808" s="5"/>
    </row>
    <row r="809" spans="2:6" ht="13">
      <c r="B809" s="5"/>
      <c r="C809" s="5"/>
      <c r="D809" s="5"/>
      <c r="E809" s="5"/>
      <c r="F809" s="5"/>
    </row>
    <row r="810" spans="2:6" ht="13">
      <c r="B810" s="5"/>
      <c r="C810" s="5"/>
      <c r="D810" s="5"/>
      <c r="E810" s="5"/>
      <c r="F810" s="5"/>
    </row>
    <row r="811" spans="2:6" ht="13">
      <c r="B811" s="5"/>
      <c r="C811" s="5"/>
      <c r="D811" s="5"/>
      <c r="E811" s="5"/>
      <c r="F811" s="5"/>
    </row>
    <row r="812" spans="2:6" ht="13">
      <c r="B812" s="5"/>
      <c r="C812" s="5"/>
      <c r="D812" s="5"/>
      <c r="E812" s="5"/>
      <c r="F812" s="5"/>
    </row>
    <row r="813" spans="2:6" ht="13">
      <c r="B813" s="5"/>
      <c r="C813" s="5"/>
      <c r="D813" s="5"/>
      <c r="E813" s="5"/>
      <c r="F813" s="5"/>
    </row>
    <row r="814" spans="2:6" ht="13">
      <c r="B814" s="5"/>
      <c r="C814" s="5"/>
      <c r="D814" s="5"/>
      <c r="E814" s="5"/>
      <c r="F814" s="5"/>
    </row>
    <row r="815" spans="2:6" ht="13">
      <c r="B815" s="5"/>
      <c r="C815" s="5"/>
      <c r="D815" s="5"/>
      <c r="E815" s="5"/>
      <c r="F815" s="5"/>
    </row>
    <row r="816" spans="2:6" ht="13">
      <c r="B816" s="5"/>
      <c r="C816" s="5"/>
      <c r="D816" s="5"/>
      <c r="E816" s="5"/>
      <c r="F816" s="5"/>
    </row>
    <row r="817" spans="2:6" ht="13">
      <c r="B817" s="5"/>
      <c r="C817" s="5"/>
      <c r="D817" s="5"/>
      <c r="E817" s="5"/>
      <c r="F817" s="5"/>
    </row>
    <row r="818" spans="2:6" ht="13">
      <c r="B818" s="5"/>
      <c r="C818" s="5"/>
      <c r="D818" s="5"/>
      <c r="E818" s="5"/>
      <c r="F818" s="5"/>
    </row>
    <row r="819" spans="2:6" ht="13">
      <c r="B819" s="5"/>
      <c r="C819" s="5"/>
      <c r="D819" s="5"/>
      <c r="E819" s="5"/>
      <c r="F819" s="5"/>
    </row>
    <row r="820" spans="2:6" ht="13">
      <c r="B820" s="5"/>
      <c r="C820" s="5"/>
      <c r="D820" s="5"/>
      <c r="E820" s="5"/>
      <c r="F820" s="5"/>
    </row>
    <row r="821" spans="2:6" ht="13">
      <c r="B821" s="5"/>
      <c r="C821" s="5"/>
      <c r="D821" s="5"/>
      <c r="E821" s="5"/>
      <c r="F821" s="5"/>
    </row>
    <row r="822" spans="2:6" ht="13">
      <c r="B822" s="5"/>
      <c r="C822" s="5"/>
      <c r="D822" s="5"/>
      <c r="E822" s="5"/>
      <c r="F822" s="5"/>
    </row>
    <row r="823" spans="2:6" ht="13">
      <c r="B823" s="5"/>
      <c r="C823" s="5"/>
      <c r="D823" s="5"/>
      <c r="E823" s="5"/>
      <c r="F823" s="5"/>
    </row>
    <row r="824" spans="2:6" ht="13">
      <c r="B824" s="5"/>
      <c r="C824" s="5"/>
      <c r="D824" s="5"/>
      <c r="E824" s="5"/>
      <c r="F824" s="5"/>
    </row>
    <row r="825" spans="2:6" ht="13">
      <c r="B825" s="5"/>
      <c r="C825" s="5"/>
      <c r="D825" s="5"/>
      <c r="E825" s="5"/>
      <c r="F825" s="5"/>
    </row>
    <row r="826" spans="2:6" ht="13">
      <c r="B826" s="5"/>
      <c r="C826" s="5"/>
      <c r="D826" s="5"/>
      <c r="E826" s="5"/>
      <c r="F826" s="5"/>
    </row>
    <row r="827" spans="2:6" ht="13">
      <c r="B827" s="5"/>
      <c r="C827" s="5"/>
      <c r="D827" s="5"/>
      <c r="E827" s="5"/>
      <c r="F827" s="5"/>
    </row>
    <row r="828" spans="2:6" ht="13">
      <c r="B828" s="5"/>
      <c r="C828" s="5"/>
      <c r="D828" s="5"/>
      <c r="E828" s="5"/>
      <c r="F828" s="5"/>
    </row>
    <row r="829" spans="2:6" ht="13">
      <c r="B829" s="5"/>
      <c r="C829" s="5"/>
      <c r="D829" s="5"/>
      <c r="E829" s="5"/>
      <c r="F829" s="5"/>
    </row>
    <row r="830" spans="2:6" ht="13">
      <c r="B830" s="5"/>
      <c r="C830" s="5"/>
      <c r="D830" s="5"/>
      <c r="E830" s="5"/>
      <c r="F830" s="5"/>
    </row>
    <row r="831" spans="2:6" ht="13">
      <c r="B831" s="5"/>
      <c r="C831" s="5"/>
      <c r="D831" s="5"/>
      <c r="E831" s="5"/>
      <c r="F831" s="5"/>
    </row>
    <row r="832" spans="2:6" ht="13">
      <c r="B832" s="5"/>
      <c r="C832" s="5"/>
      <c r="D832" s="5"/>
      <c r="E832" s="5"/>
      <c r="F832" s="5"/>
    </row>
    <row r="833" spans="2:6" ht="13">
      <c r="B833" s="5"/>
      <c r="C833" s="5"/>
      <c r="D833" s="5"/>
      <c r="E833" s="5"/>
      <c r="F833" s="5"/>
    </row>
    <row r="834" spans="2:6" ht="13">
      <c r="B834" s="5"/>
      <c r="C834" s="5"/>
      <c r="D834" s="5"/>
      <c r="E834" s="5"/>
      <c r="F834" s="5"/>
    </row>
    <row r="835" spans="2:6" ht="13">
      <c r="B835" s="5"/>
      <c r="C835" s="5"/>
      <c r="D835" s="5"/>
      <c r="E835" s="5"/>
      <c r="F835" s="5"/>
    </row>
    <row r="836" spans="2:6" ht="13">
      <c r="B836" s="5"/>
      <c r="C836" s="5"/>
      <c r="D836" s="5"/>
      <c r="E836" s="5"/>
      <c r="F836" s="5"/>
    </row>
    <row r="837" spans="2:6" ht="13">
      <c r="B837" s="5"/>
      <c r="C837" s="5"/>
      <c r="D837" s="5"/>
      <c r="E837" s="5"/>
      <c r="F837" s="5"/>
    </row>
    <row r="838" spans="2:6" ht="13">
      <c r="B838" s="5"/>
      <c r="C838" s="5"/>
      <c r="D838" s="5"/>
      <c r="E838" s="5"/>
      <c r="F838" s="5"/>
    </row>
    <row r="839" spans="2:6" ht="13">
      <c r="B839" s="5"/>
      <c r="C839" s="5"/>
      <c r="D839" s="5"/>
      <c r="E839" s="5"/>
      <c r="F839" s="5"/>
    </row>
    <row r="840" spans="2:6" ht="13">
      <c r="B840" s="5"/>
      <c r="C840" s="5"/>
      <c r="D840" s="5"/>
      <c r="E840" s="5"/>
      <c r="F840" s="5"/>
    </row>
    <row r="841" spans="2:6" ht="13">
      <c r="B841" s="5"/>
      <c r="C841" s="5"/>
      <c r="D841" s="5"/>
      <c r="E841" s="5"/>
      <c r="F841" s="5"/>
    </row>
    <row r="842" spans="2:6" ht="13">
      <c r="B842" s="5"/>
      <c r="C842" s="5"/>
      <c r="D842" s="5"/>
      <c r="E842" s="5"/>
      <c r="F842" s="5"/>
    </row>
    <row r="843" spans="2:6" ht="13">
      <c r="B843" s="5"/>
      <c r="C843" s="5"/>
      <c r="D843" s="5"/>
      <c r="E843" s="5"/>
      <c r="F843" s="5"/>
    </row>
    <row r="844" spans="2:6" ht="13">
      <c r="B844" s="5"/>
      <c r="C844" s="5"/>
      <c r="D844" s="5"/>
      <c r="E844" s="5"/>
      <c r="F844" s="5"/>
    </row>
    <row r="845" spans="2:6" ht="13">
      <c r="B845" s="5"/>
      <c r="C845" s="5"/>
      <c r="D845" s="5"/>
      <c r="E845" s="5"/>
      <c r="F845" s="5"/>
    </row>
    <row r="846" spans="2:6" ht="13">
      <c r="B846" s="5"/>
      <c r="C846" s="5"/>
      <c r="D846" s="5"/>
      <c r="E846" s="5"/>
      <c r="F846" s="5"/>
    </row>
    <row r="847" spans="2:6" ht="13">
      <c r="B847" s="5"/>
      <c r="C847" s="5"/>
      <c r="D847" s="5"/>
      <c r="E847" s="5"/>
      <c r="F847" s="5"/>
    </row>
    <row r="848" spans="2:6" ht="13">
      <c r="B848" s="5"/>
      <c r="C848" s="5"/>
      <c r="D848" s="5"/>
      <c r="E848" s="5"/>
      <c r="F848" s="5"/>
    </row>
    <row r="849" spans="2:6" ht="13">
      <c r="B849" s="5"/>
      <c r="C849" s="5"/>
      <c r="D849" s="5"/>
      <c r="E849" s="5"/>
      <c r="F849" s="5"/>
    </row>
    <row r="850" spans="2:6" ht="13">
      <c r="B850" s="5"/>
      <c r="C850" s="5"/>
      <c r="D850" s="5"/>
      <c r="E850" s="5"/>
      <c r="F850" s="5"/>
    </row>
    <row r="851" spans="2:6" ht="13">
      <c r="B851" s="5"/>
      <c r="C851" s="5"/>
      <c r="D851" s="5"/>
      <c r="E851" s="5"/>
      <c r="F851" s="5"/>
    </row>
    <row r="852" spans="2:6" ht="13">
      <c r="B852" s="5"/>
      <c r="C852" s="5"/>
      <c r="D852" s="5"/>
      <c r="E852" s="5"/>
      <c r="F852" s="5"/>
    </row>
    <row r="853" spans="2:6" ht="13">
      <c r="B853" s="5"/>
      <c r="C853" s="5"/>
      <c r="D853" s="5"/>
      <c r="E853" s="5"/>
      <c r="F853" s="5"/>
    </row>
    <row r="854" spans="2:6" ht="13">
      <c r="B854" s="5"/>
      <c r="C854" s="5"/>
      <c r="D854" s="5"/>
      <c r="E854" s="5"/>
      <c r="F854" s="5"/>
    </row>
    <row r="855" spans="2:6" ht="13">
      <c r="B855" s="5"/>
      <c r="C855" s="5"/>
      <c r="D855" s="5"/>
      <c r="E855" s="5"/>
      <c r="F855" s="5"/>
    </row>
    <row r="856" spans="2:6" ht="13">
      <c r="B856" s="5"/>
      <c r="C856" s="5"/>
      <c r="D856" s="5"/>
      <c r="E856" s="5"/>
      <c r="F856" s="5"/>
    </row>
    <row r="857" spans="2:6" ht="13">
      <c r="B857" s="5"/>
      <c r="C857" s="5"/>
      <c r="D857" s="5"/>
      <c r="E857" s="5"/>
      <c r="F857" s="5"/>
    </row>
    <row r="858" spans="2:6" ht="13">
      <c r="B858" s="5"/>
      <c r="C858" s="5"/>
      <c r="D858" s="5"/>
      <c r="E858" s="5"/>
      <c r="F858" s="5"/>
    </row>
    <row r="859" spans="2:6" ht="13">
      <c r="B859" s="5"/>
      <c r="C859" s="5"/>
      <c r="D859" s="5"/>
      <c r="E859" s="5"/>
      <c r="F859" s="5"/>
    </row>
    <row r="860" spans="2:6" ht="13">
      <c r="B860" s="5"/>
      <c r="C860" s="5"/>
      <c r="D860" s="5"/>
      <c r="E860" s="5"/>
      <c r="F860" s="5"/>
    </row>
    <row r="861" spans="2:6" ht="13">
      <c r="B861" s="5"/>
      <c r="C861" s="5"/>
      <c r="D861" s="5"/>
      <c r="E861" s="5"/>
      <c r="F861" s="5"/>
    </row>
    <row r="862" spans="2:6" ht="13">
      <c r="B862" s="5"/>
      <c r="C862" s="5"/>
      <c r="D862" s="5"/>
      <c r="E862" s="5"/>
      <c r="F862" s="5"/>
    </row>
    <row r="863" spans="2:6" ht="13">
      <c r="B863" s="5"/>
      <c r="C863" s="5"/>
      <c r="D863" s="5"/>
      <c r="E863" s="5"/>
      <c r="F863" s="5"/>
    </row>
    <row r="864" spans="2:6" ht="13">
      <c r="B864" s="5"/>
      <c r="C864" s="5"/>
      <c r="D864" s="5"/>
      <c r="E864" s="5"/>
      <c r="F864" s="5"/>
    </row>
    <row r="865" spans="2:6" ht="13">
      <c r="B865" s="5"/>
      <c r="C865" s="5"/>
      <c r="D865" s="5"/>
      <c r="E865" s="5"/>
      <c r="F865" s="5"/>
    </row>
    <row r="866" spans="2:6" ht="13">
      <c r="B866" s="5"/>
      <c r="C866" s="5"/>
      <c r="D866" s="5"/>
      <c r="E866" s="5"/>
      <c r="F866" s="5"/>
    </row>
    <row r="867" spans="2:6" ht="13">
      <c r="B867" s="5"/>
      <c r="C867" s="5"/>
      <c r="D867" s="5"/>
      <c r="E867" s="5"/>
      <c r="F867" s="5"/>
    </row>
    <row r="868" spans="2:6" ht="13">
      <c r="B868" s="5"/>
      <c r="C868" s="5"/>
      <c r="D868" s="5"/>
      <c r="E868" s="5"/>
      <c r="F868" s="5"/>
    </row>
    <row r="869" spans="2:6" ht="13">
      <c r="B869" s="5"/>
      <c r="C869" s="5"/>
      <c r="D869" s="5"/>
      <c r="E869" s="5"/>
      <c r="F869" s="5"/>
    </row>
    <row r="870" spans="2:6" ht="13">
      <c r="B870" s="5"/>
      <c r="C870" s="5"/>
      <c r="D870" s="5"/>
      <c r="E870" s="5"/>
      <c r="F870" s="5"/>
    </row>
    <row r="871" spans="2:6" ht="13">
      <c r="B871" s="5"/>
      <c r="C871" s="5"/>
      <c r="D871" s="5"/>
      <c r="E871" s="5"/>
      <c r="F871" s="5"/>
    </row>
    <row r="872" spans="2:6" ht="13">
      <c r="B872" s="5"/>
      <c r="C872" s="5"/>
      <c r="D872" s="5"/>
      <c r="E872" s="5"/>
      <c r="F872" s="5"/>
    </row>
    <row r="873" spans="2:6" ht="13">
      <c r="B873" s="5"/>
      <c r="C873" s="5"/>
      <c r="D873" s="5"/>
      <c r="E873" s="5"/>
      <c r="F873" s="5"/>
    </row>
    <row r="874" spans="2:6" ht="13">
      <c r="B874" s="5"/>
      <c r="C874" s="5"/>
      <c r="D874" s="5"/>
      <c r="E874" s="5"/>
      <c r="F874" s="5"/>
    </row>
    <row r="875" spans="2:6" ht="13">
      <c r="B875" s="5"/>
      <c r="C875" s="5"/>
      <c r="D875" s="5"/>
      <c r="E875" s="5"/>
      <c r="F875" s="5"/>
    </row>
    <row r="876" spans="2:6" ht="13">
      <c r="B876" s="5"/>
      <c r="C876" s="5"/>
      <c r="D876" s="5"/>
      <c r="E876" s="5"/>
      <c r="F876" s="5"/>
    </row>
    <row r="877" spans="2:6" ht="13">
      <c r="B877" s="5"/>
      <c r="C877" s="5"/>
      <c r="D877" s="5"/>
      <c r="E877" s="5"/>
      <c r="F877" s="5"/>
    </row>
    <row r="878" spans="2:6" ht="13">
      <c r="B878" s="5"/>
      <c r="C878" s="5"/>
      <c r="D878" s="5"/>
      <c r="E878" s="5"/>
      <c r="F878" s="5"/>
    </row>
    <row r="879" spans="2:6" ht="13">
      <c r="B879" s="5"/>
      <c r="C879" s="5"/>
      <c r="D879" s="5"/>
      <c r="E879" s="5"/>
      <c r="F879" s="5"/>
    </row>
    <row r="880" spans="2:6" ht="13">
      <c r="B880" s="5"/>
      <c r="C880" s="5"/>
      <c r="D880" s="5"/>
      <c r="E880" s="5"/>
      <c r="F880" s="5"/>
    </row>
    <row r="881" spans="2:6" ht="13">
      <c r="B881" s="5"/>
      <c r="C881" s="5"/>
      <c r="D881" s="5"/>
      <c r="E881" s="5"/>
      <c r="F881" s="5"/>
    </row>
    <row r="882" spans="2:6" ht="13">
      <c r="B882" s="5"/>
      <c r="C882" s="5"/>
      <c r="D882" s="5"/>
      <c r="E882" s="5"/>
      <c r="F882" s="5"/>
    </row>
    <row r="883" spans="2:6" ht="13">
      <c r="B883" s="5"/>
      <c r="C883" s="5"/>
      <c r="D883" s="5"/>
      <c r="E883" s="5"/>
      <c r="F883" s="5"/>
    </row>
    <row r="884" spans="2:6" ht="13">
      <c r="B884" s="5"/>
      <c r="C884" s="5"/>
      <c r="D884" s="5"/>
      <c r="E884" s="5"/>
      <c r="F884" s="5"/>
    </row>
    <row r="885" spans="2:6" ht="13">
      <c r="B885" s="5"/>
      <c r="C885" s="5"/>
      <c r="D885" s="5"/>
      <c r="E885" s="5"/>
      <c r="F885" s="5"/>
    </row>
    <row r="886" spans="2:6" ht="13">
      <c r="B886" s="5"/>
      <c r="C886" s="5"/>
      <c r="D886" s="5"/>
      <c r="E886" s="5"/>
      <c r="F886" s="5"/>
    </row>
    <row r="887" spans="2:6" ht="13">
      <c r="B887" s="5"/>
      <c r="C887" s="5"/>
      <c r="D887" s="5"/>
      <c r="E887" s="5"/>
      <c r="F887" s="5"/>
    </row>
    <row r="888" spans="2:6" ht="13">
      <c r="B888" s="5"/>
      <c r="C888" s="5"/>
      <c r="D888" s="5"/>
      <c r="E888" s="5"/>
      <c r="F888" s="5"/>
    </row>
    <row r="889" spans="2:6" ht="13">
      <c r="B889" s="5"/>
      <c r="C889" s="5"/>
      <c r="D889" s="5"/>
      <c r="E889" s="5"/>
      <c r="F889" s="5"/>
    </row>
    <row r="890" spans="2:6" ht="13">
      <c r="B890" s="5"/>
      <c r="C890" s="5"/>
      <c r="D890" s="5"/>
      <c r="E890" s="5"/>
      <c r="F890" s="5"/>
    </row>
    <row r="891" spans="2:6" ht="13">
      <c r="B891" s="5"/>
      <c r="C891" s="5"/>
      <c r="D891" s="5"/>
      <c r="E891" s="5"/>
      <c r="F891" s="5"/>
    </row>
    <row r="892" spans="2:6" ht="13">
      <c r="B892" s="5"/>
      <c r="C892" s="5"/>
      <c r="D892" s="5"/>
      <c r="E892" s="5"/>
      <c r="F892" s="5"/>
    </row>
    <row r="893" spans="2:6" ht="13">
      <c r="B893" s="5"/>
      <c r="C893" s="5"/>
      <c r="D893" s="5"/>
      <c r="E893" s="5"/>
      <c r="F893" s="5"/>
    </row>
    <row r="894" spans="2:6" ht="13">
      <c r="B894" s="5"/>
      <c r="C894" s="5"/>
      <c r="D894" s="5"/>
      <c r="E894" s="5"/>
      <c r="F894" s="5"/>
    </row>
    <row r="895" spans="2:6" ht="13">
      <c r="B895" s="5"/>
      <c r="C895" s="5"/>
      <c r="D895" s="5"/>
      <c r="E895" s="5"/>
      <c r="F895" s="5"/>
    </row>
    <row r="896" spans="2:6" ht="13">
      <c r="B896" s="5"/>
      <c r="C896" s="5"/>
      <c r="D896" s="5"/>
      <c r="E896" s="5"/>
      <c r="F896" s="5"/>
    </row>
    <row r="897" spans="2:6" ht="13">
      <c r="B897" s="5"/>
      <c r="C897" s="5"/>
      <c r="D897" s="5"/>
      <c r="E897" s="5"/>
      <c r="F897" s="5"/>
    </row>
    <row r="898" spans="2:6" ht="13">
      <c r="B898" s="5"/>
      <c r="C898" s="5"/>
      <c r="D898" s="5"/>
      <c r="E898" s="5"/>
      <c r="F898" s="5"/>
    </row>
    <row r="899" spans="2:6" ht="13">
      <c r="B899" s="5"/>
      <c r="C899" s="5"/>
      <c r="D899" s="5"/>
      <c r="E899" s="5"/>
      <c r="F899" s="5"/>
    </row>
    <row r="900" spans="2:6" ht="13">
      <c r="B900" s="5"/>
      <c r="C900" s="5"/>
      <c r="D900" s="5"/>
      <c r="E900" s="5"/>
      <c r="F900" s="5"/>
    </row>
    <row r="901" spans="2:6" ht="13">
      <c r="B901" s="5"/>
      <c r="C901" s="5"/>
      <c r="D901" s="5"/>
      <c r="E901" s="5"/>
      <c r="F901" s="5"/>
    </row>
    <row r="902" spans="2:6" ht="13">
      <c r="B902" s="5"/>
      <c r="C902" s="5"/>
      <c r="D902" s="5"/>
      <c r="E902" s="5"/>
      <c r="F902" s="5"/>
    </row>
    <row r="903" spans="2:6" ht="13">
      <c r="B903" s="5"/>
      <c r="C903" s="5"/>
      <c r="D903" s="5"/>
      <c r="E903" s="5"/>
      <c r="F903" s="5"/>
    </row>
    <row r="904" spans="2:6" ht="13">
      <c r="B904" s="5"/>
      <c r="C904" s="5"/>
      <c r="D904" s="5"/>
      <c r="E904" s="5"/>
      <c r="F904" s="5"/>
    </row>
    <row r="905" spans="2:6" ht="13">
      <c r="B905" s="5"/>
      <c r="C905" s="5"/>
      <c r="D905" s="5"/>
      <c r="E905" s="5"/>
      <c r="F905" s="5"/>
    </row>
    <row r="906" spans="2:6" ht="13">
      <c r="B906" s="5"/>
      <c r="C906" s="5"/>
      <c r="D906" s="5"/>
      <c r="E906" s="5"/>
      <c r="F906" s="5"/>
    </row>
    <row r="907" spans="2:6" ht="13">
      <c r="B907" s="5"/>
      <c r="C907" s="5"/>
      <c r="D907" s="5"/>
      <c r="E907" s="5"/>
      <c r="F907" s="5"/>
    </row>
    <row r="908" spans="2:6" ht="13">
      <c r="B908" s="5"/>
      <c r="C908" s="5"/>
      <c r="D908" s="5"/>
      <c r="E908" s="5"/>
      <c r="F908" s="5"/>
    </row>
    <row r="909" spans="2:6" ht="13">
      <c r="B909" s="5"/>
      <c r="C909" s="5"/>
      <c r="D909" s="5"/>
      <c r="E909" s="5"/>
      <c r="F909" s="5"/>
    </row>
    <row r="910" spans="2:6" ht="13">
      <c r="B910" s="5"/>
      <c r="C910" s="5"/>
      <c r="D910" s="5"/>
      <c r="E910" s="5"/>
      <c r="F910" s="5"/>
    </row>
    <row r="911" spans="2:6" ht="13">
      <c r="B911" s="5"/>
      <c r="C911" s="5"/>
      <c r="D911" s="5"/>
      <c r="E911" s="5"/>
      <c r="F911" s="5"/>
    </row>
    <row r="912" spans="2:6" ht="13">
      <c r="B912" s="5"/>
      <c r="C912" s="5"/>
      <c r="D912" s="5"/>
      <c r="E912" s="5"/>
      <c r="F912" s="5"/>
    </row>
    <row r="913" spans="2:6" ht="13">
      <c r="B913" s="5"/>
      <c r="C913" s="5"/>
      <c r="D913" s="5"/>
      <c r="E913" s="5"/>
      <c r="F913" s="5"/>
    </row>
    <row r="914" spans="2:6" ht="13">
      <c r="B914" s="5"/>
      <c r="C914" s="5"/>
      <c r="D914" s="5"/>
      <c r="E914" s="5"/>
      <c r="F914" s="5"/>
    </row>
    <row r="915" spans="2:6" ht="13">
      <c r="B915" s="5"/>
      <c r="C915" s="5"/>
      <c r="D915" s="5"/>
      <c r="E915" s="5"/>
      <c r="F915" s="5"/>
    </row>
    <row r="916" spans="2:6" ht="13">
      <c r="B916" s="5"/>
      <c r="C916" s="5"/>
      <c r="D916" s="5"/>
      <c r="E916" s="5"/>
      <c r="F916" s="5"/>
    </row>
    <row r="917" spans="2:6" ht="13">
      <c r="B917" s="5"/>
      <c r="C917" s="5"/>
      <c r="D917" s="5"/>
      <c r="E917" s="5"/>
      <c r="F917" s="5"/>
    </row>
    <row r="918" spans="2:6" ht="13">
      <c r="B918" s="5"/>
      <c r="C918" s="5"/>
      <c r="D918" s="5"/>
      <c r="E918" s="5"/>
      <c r="F918" s="5"/>
    </row>
    <row r="919" spans="2:6" ht="13">
      <c r="B919" s="5"/>
      <c r="C919" s="5"/>
      <c r="D919" s="5"/>
      <c r="E919" s="5"/>
      <c r="F919" s="5"/>
    </row>
    <row r="920" spans="2:6" ht="13">
      <c r="B920" s="5"/>
      <c r="C920" s="5"/>
      <c r="D920" s="5"/>
      <c r="E920" s="5"/>
      <c r="F920" s="5"/>
    </row>
    <row r="921" spans="2:6" ht="13">
      <c r="B921" s="5"/>
      <c r="C921" s="5"/>
      <c r="D921" s="5"/>
      <c r="E921" s="5"/>
      <c r="F921" s="5"/>
    </row>
    <row r="922" spans="2:6" ht="13">
      <c r="B922" s="5"/>
      <c r="C922" s="5"/>
      <c r="D922" s="5"/>
      <c r="E922" s="5"/>
      <c r="F922" s="5"/>
    </row>
    <row r="923" spans="2:6" ht="13">
      <c r="B923" s="5"/>
      <c r="C923" s="5"/>
      <c r="D923" s="5"/>
      <c r="E923" s="5"/>
      <c r="F923" s="5"/>
    </row>
    <row r="924" spans="2:6" ht="13">
      <c r="B924" s="5"/>
      <c r="C924" s="5"/>
      <c r="D924" s="5"/>
      <c r="E924" s="5"/>
      <c r="F924" s="5"/>
    </row>
    <row r="925" spans="2:6" ht="13">
      <c r="B925" s="5"/>
      <c r="C925" s="5"/>
      <c r="D925" s="5"/>
      <c r="E925" s="5"/>
      <c r="F925" s="5"/>
    </row>
    <row r="926" spans="2:6" ht="13">
      <c r="B926" s="5"/>
      <c r="C926" s="5"/>
      <c r="D926" s="5"/>
      <c r="E926" s="5"/>
      <c r="F926" s="5"/>
    </row>
    <row r="927" spans="2:6" ht="13">
      <c r="B927" s="5"/>
      <c r="C927" s="5"/>
      <c r="D927" s="5"/>
      <c r="E927" s="5"/>
      <c r="F927" s="5"/>
    </row>
    <row r="928" spans="2:6" ht="13">
      <c r="B928" s="5"/>
      <c r="C928" s="5"/>
      <c r="D928" s="5"/>
      <c r="E928" s="5"/>
      <c r="F928" s="5"/>
    </row>
    <row r="929" spans="2:6" ht="13">
      <c r="B929" s="5"/>
      <c r="C929" s="5"/>
      <c r="D929" s="5"/>
      <c r="E929" s="5"/>
      <c r="F929" s="5"/>
    </row>
    <row r="930" spans="2:6" ht="13">
      <c r="B930" s="5"/>
      <c r="C930" s="5"/>
      <c r="D930" s="5"/>
      <c r="E930" s="5"/>
      <c r="F930" s="5"/>
    </row>
    <row r="931" spans="2:6" ht="13">
      <c r="B931" s="5"/>
      <c r="C931" s="5"/>
      <c r="D931" s="5"/>
      <c r="E931" s="5"/>
      <c r="F931" s="5"/>
    </row>
    <row r="932" spans="2:6" ht="13">
      <c r="B932" s="5"/>
      <c r="C932" s="5"/>
      <c r="D932" s="5"/>
      <c r="E932" s="5"/>
      <c r="F932" s="5"/>
    </row>
    <row r="933" spans="2:6" ht="13">
      <c r="B933" s="5"/>
      <c r="C933" s="5"/>
      <c r="D933" s="5"/>
      <c r="E933" s="5"/>
      <c r="F933" s="5"/>
    </row>
    <row r="934" spans="2:6" ht="13">
      <c r="B934" s="5"/>
      <c r="C934" s="5"/>
      <c r="D934" s="5"/>
      <c r="E934" s="5"/>
      <c r="F934" s="5"/>
    </row>
    <row r="935" spans="2:6" ht="13">
      <c r="B935" s="5"/>
      <c r="C935" s="5"/>
      <c r="D935" s="5"/>
      <c r="E935" s="5"/>
      <c r="F935" s="5"/>
    </row>
    <row r="936" spans="2:6" ht="13">
      <c r="B936" s="5"/>
      <c r="C936" s="5"/>
      <c r="D936" s="5"/>
      <c r="E936" s="5"/>
      <c r="F936" s="5"/>
    </row>
    <row r="937" spans="2:6" ht="13">
      <c r="B937" s="5"/>
      <c r="C937" s="5"/>
      <c r="D937" s="5"/>
      <c r="E937" s="5"/>
      <c r="F937" s="5"/>
    </row>
    <row r="938" spans="2:6" ht="13">
      <c r="B938" s="5"/>
      <c r="C938" s="5"/>
      <c r="D938" s="5"/>
      <c r="E938" s="5"/>
      <c r="F938" s="5"/>
    </row>
    <row r="939" spans="2:6" ht="13">
      <c r="B939" s="5"/>
      <c r="C939" s="5"/>
      <c r="D939" s="5"/>
      <c r="E939" s="5"/>
      <c r="F939" s="5"/>
    </row>
    <row r="940" spans="2:6" ht="13">
      <c r="B940" s="5"/>
      <c r="C940" s="5"/>
      <c r="D940" s="5"/>
      <c r="E940" s="5"/>
      <c r="F940" s="5"/>
    </row>
    <row r="941" spans="2:6" ht="13">
      <c r="B941" s="5"/>
      <c r="C941" s="5"/>
      <c r="D941" s="5"/>
      <c r="E941" s="5"/>
      <c r="F941" s="5"/>
    </row>
    <row r="942" spans="2:6" ht="13">
      <c r="B942" s="5"/>
      <c r="C942" s="5"/>
      <c r="D942" s="5"/>
      <c r="E942" s="5"/>
      <c r="F942" s="5"/>
    </row>
    <row r="943" spans="2:6" ht="13">
      <c r="B943" s="5"/>
      <c r="C943" s="5"/>
      <c r="D943" s="5"/>
      <c r="E943" s="5"/>
      <c r="F943" s="5"/>
    </row>
    <row r="944" spans="2:6" ht="13">
      <c r="B944" s="5"/>
      <c r="C944" s="5"/>
      <c r="D944" s="5"/>
      <c r="E944" s="5"/>
      <c r="F944" s="5"/>
    </row>
    <row r="945" spans="2:6" ht="13">
      <c r="B945" s="5"/>
      <c r="C945" s="5"/>
      <c r="D945" s="5"/>
      <c r="E945" s="5"/>
      <c r="F945" s="5"/>
    </row>
    <row r="946" spans="2:6" ht="13">
      <c r="B946" s="5"/>
      <c r="C946" s="5"/>
      <c r="D946" s="5"/>
      <c r="E946" s="5"/>
      <c r="F946" s="5"/>
    </row>
    <row r="947" spans="2:6" ht="13">
      <c r="B947" s="5"/>
      <c r="C947" s="5"/>
      <c r="D947" s="5"/>
      <c r="E947" s="5"/>
      <c r="F947" s="5"/>
    </row>
    <row r="948" spans="2:6" ht="13">
      <c r="B948" s="5"/>
      <c r="C948" s="5"/>
      <c r="D948" s="5"/>
      <c r="E948" s="5"/>
      <c r="F948" s="5"/>
    </row>
    <row r="949" spans="2:6" ht="13">
      <c r="B949" s="5"/>
      <c r="C949" s="5"/>
      <c r="D949" s="5"/>
      <c r="E949" s="5"/>
      <c r="F949" s="5"/>
    </row>
    <row r="950" spans="2:6" ht="13">
      <c r="B950" s="5"/>
      <c r="C950" s="5"/>
      <c r="D950" s="5"/>
      <c r="E950" s="5"/>
      <c r="F950" s="5"/>
    </row>
    <row r="951" spans="2:6" ht="13">
      <c r="B951" s="5"/>
      <c r="C951" s="5"/>
      <c r="D951" s="5"/>
      <c r="E951" s="5"/>
      <c r="F951" s="5"/>
    </row>
    <row r="952" spans="2:6" ht="13">
      <c r="B952" s="5"/>
      <c r="C952" s="5"/>
      <c r="D952" s="5"/>
      <c r="E952" s="5"/>
      <c r="F952" s="5"/>
    </row>
    <row r="953" spans="2:6" ht="13">
      <c r="B953" s="5"/>
      <c r="C953" s="5"/>
      <c r="D953" s="5"/>
      <c r="E953" s="5"/>
      <c r="F953" s="5"/>
    </row>
    <row r="954" spans="2:6" ht="13">
      <c r="B954" s="5"/>
      <c r="C954" s="5"/>
      <c r="D954" s="5"/>
      <c r="E954" s="5"/>
      <c r="F954" s="5"/>
    </row>
    <row r="955" spans="2:6" ht="13">
      <c r="B955" s="5"/>
      <c r="C955" s="5"/>
      <c r="D955" s="5"/>
      <c r="E955" s="5"/>
      <c r="F955" s="5"/>
    </row>
    <row r="956" spans="2:6" ht="13">
      <c r="B956" s="5"/>
      <c r="C956" s="5"/>
      <c r="D956" s="5"/>
      <c r="E956" s="5"/>
      <c r="F956" s="5"/>
    </row>
    <row r="957" spans="2:6" ht="13">
      <c r="B957" s="5"/>
      <c r="C957" s="5"/>
      <c r="D957" s="5"/>
      <c r="E957" s="5"/>
      <c r="F957" s="5"/>
    </row>
    <row r="958" spans="2:6" ht="13">
      <c r="B958" s="5"/>
      <c r="C958" s="5"/>
      <c r="D958" s="5"/>
      <c r="E958" s="5"/>
      <c r="F958" s="5"/>
    </row>
    <row r="959" spans="2:6" ht="13">
      <c r="B959" s="5"/>
      <c r="C959" s="5"/>
      <c r="D959" s="5"/>
      <c r="E959" s="5"/>
      <c r="F959" s="5"/>
    </row>
    <row r="960" spans="2:6" ht="13">
      <c r="B960" s="5"/>
      <c r="C960" s="5"/>
      <c r="D960" s="5"/>
      <c r="E960" s="5"/>
      <c r="F960" s="5"/>
    </row>
    <row r="961" spans="2:6" ht="13">
      <c r="B961" s="5"/>
      <c r="C961" s="5"/>
      <c r="D961" s="5"/>
      <c r="E961" s="5"/>
      <c r="F961" s="5"/>
    </row>
    <row r="962" spans="2:6" ht="13">
      <c r="B962" s="5"/>
      <c r="C962" s="5"/>
      <c r="D962" s="5"/>
      <c r="E962" s="5"/>
      <c r="F962" s="5"/>
    </row>
    <row r="963" spans="2:6" ht="13">
      <c r="B963" s="5"/>
      <c r="C963" s="5"/>
      <c r="D963" s="5"/>
      <c r="E963" s="5"/>
      <c r="F963" s="5"/>
    </row>
    <row r="964" spans="2:6" ht="13">
      <c r="B964" s="5"/>
      <c r="C964" s="5"/>
      <c r="D964" s="5"/>
      <c r="E964" s="5"/>
      <c r="F964" s="5"/>
    </row>
    <row r="965" spans="2:6" ht="13">
      <c r="B965" s="5"/>
      <c r="C965" s="5"/>
      <c r="D965" s="5"/>
      <c r="E965" s="5"/>
      <c r="F965" s="5"/>
    </row>
    <row r="966" spans="2:6" ht="13">
      <c r="B966" s="5"/>
      <c r="C966" s="5"/>
      <c r="D966" s="5"/>
      <c r="E966" s="5"/>
      <c r="F966" s="5"/>
    </row>
    <row r="967" spans="2:6" ht="13">
      <c r="B967" s="5"/>
      <c r="C967" s="5"/>
      <c r="D967" s="5"/>
      <c r="E967" s="5"/>
      <c r="F967" s="5"/>
    </row>
    <row r="968" spans="2:6" ht="13">
      <c r="B968" s="5"/>
      <c r="C968" s="5"/>
      <c r="D968" s="5"/>
      <c r="E968" s="5"/>
      <c r="F968" s="5"/>
    </row>
    <row r="969" spans="2:6" ht="13">
      <c r="B969" s="5"/>
      <c r="C969" s="5"/>
      <c r="D969" s="5"/>
      <c r="E969" s="5"/>
      <c r="F969" s="5"/>
    </row>
    <row r="970" spans="2:6" ht="13">
      <c r="B970" s="5"/>
      <c r="C970" s="5"/>
      <c r="D970" s="5"/>
      <c r="E970" s="5"/>
      <c r="F970" s="5"/>
    </row>
    <row r="971" spans="2:6" ht="13">
      <c r="B971" s="5"/>
      <c r="C971" s="5"/>
      <c r="D971" s="5"/>
      <c r="E971" s="5"/>
      <c r="F971" s="5"/>
    </row>
    <row r="972" spans="2:6" ht="13">
      <c r="B972" s="5"/>
      <c r="C972" s="5"/>
      <c r="D972" s="5"/>
      <c r="E972" s="5"/>
      <c r="F972" s="5"/>
    </row>
    <row r="973" spans="2:6" ht="13">
      <c r="B973" s="5"/>
      <c r="C973" s="5"/>
      <c r="D973" s="5"/>
      <c r="E973" s="5"/>
      <c r="F973" s="5"/>
    </row>
    <row r="974" spans="2:6" ht="13">
      <c r="B974" s="5"/>
      <c r="C974" s="5"/>
      <c r="D974" s="5"/>
      <c r="E974" s="5"/>
      <c r="F974" s="5"/>
    </row>
    <row r="975" spans="2:6" ht="13">
      <c r="B975" s="5"/>
      <c r="C975" s="5"/>
      <c r="D975" s="5"/>
      <c r="E975" s="5"/>
      <c r="F975" s="5"/>
    </row>
    <row r="976" spans="2:6" ht="13">
      <c r="B976" s="5"/>
      <c r="C976" s="5"/>
      <c r="D976" s="5"/>
      <c r="E976" s="5"/>
      <c r="F976" s="5"/>
    </row>
    <row r="977" spans="2:6" ht="13">
      <c r="B977" s="5"/>
      <c r="C977" s="5"/>
      <c r="D977" s="5"/>
      <c r="E977" s="5"/>
      <c r="F977" s="5"/>
    </row>
    <row r="978" spans="2:6" ht="13">
      <c r="B978" s="5"/>
      <c r="C978" s="5"/>
      <c r="D978" s="5"/>
      <c r="E978" s="5"/>
      <c r="F978" s="5"/>
    </row>
    <row r="979" spans="2:6" ht="13">
      <c r="B979" s="5"/>
      <c r="C979" s="5"/>
      <c r="D979" s="5"/>
      <c r="E979" s="5"/>
      <c r="F979" s="5"/>
    </row>
    <row r="980" spans="2:6" ht="13">
      <c r="B980" s="5"/>
      <c r="C980" s="5"/>
      <c r="D980" s="5"/>
      <c r="E980" s="5"/>
      <c r="F980" s="5"/>
    </row>
    <row r="981" spans="2:6" ht="13">
      <c r="B981" s="5"/>
      <c r="C981" s="5"/>
      <c r="D981" s="5"/>
      <c r="E981" s="5"/>
      <c r="F981" s="5"/>
    </row>
    <row r="982" spans="2:6" ht="13">
      <c r="B982" s="5"/>
      <c r="C982" s="5"/>
      <c r="D982" s="5"/>
      <c r="E982" s="5"/>
      <c r="F982" s="5"/>
    </row>
    <row r="983" spans="2:6" ht="13">
      <c r="B983" s="5"/>
      <c r="C983" s="5"/>
      <c r="D983" s="5"/>
      <c r="E983" s="5"/>
      <c r="F983" s="5"/>
    </row>
    <row r="984" spans="2:6" ht="13">
      <c r="B984" s="5"/>
      <c r="C984" s="5"/>
      <c r="D984" s="5"/>
      <c r="E984" s="5"/>
      <c r="F984" s="5"/>
    </row>
    <row r="985" spans="2:6" ht="13">
      <c r="B985" s="5"/>
      <c r="C985" s="5"/>
      <c r="D985" s="5"/>
      <c r="E985" s="5"/>
      <c r="F985" s="5"/>
    </row>
    <row r="986" spans="2:6" ht="13">
      <c r="B986" s="5"/>
      <c r="C986" s="5"/>
      <c r="D986" s="5"/>
      <c r="E986" s="5"/>
      <c r="F986" s="5"/>
    </row>
    <row r="987" spans="2:6" ht="13">
      <c r="B987" s="5"/>
      <c r="C987" s="5"/>
      <c r="D987" s="5"/>
      <c r="E987" s="5"/>
      <c r="F987" s="5"/>
    </row>
    <row r="988" spans="2:6" ht="13">
      <c r="B988" s="5"/>
      <c r="C988" s="5"/>
      <c r="D988" s="5"/>
      <c r="E988" s="5"/>
      <c r="F988" s="5"/>
    </row>
    <row r="989" spans="2:6" ht="13">
      <c r="B989" s="5"/>
      <c r="C989" s="5"/>
      <c r="D989" s="5"/>
      <c r="E989" s="5"/>
      <c r="F989" s="5"/>
    </row>
    <row r="990" spans="2:6" ht="13">
      <c r="B990" s="5"/>
      <c r="C990" s="5"/>
      <c r="D990" s="5"/>
      <c r="E990" s="5"/>
      <c r="F990" s="5"/>
    </row>
    <row r="991" spans="2:6" ht="13">
      <c r="B991" s="5"/>
      <c r="C991" s="5"/>
      <c r="D991" s="5"/>
      <c r="E991" s="5"/>
      <c r="F991" s="5"/>
    </row>
    <row r="992" spans="2:6" ht="13">
      <c r="B992" s="5"/>
      <c r="C992" s="5"/>
      <c r="D992" s="5"/>
      <c r="E992" s="5"/>
      <c r="F992" s="5"/>
    </row>
    <row r="993" spans="2:6" ht="13">
      <c r="B993" s="5"/>
      <c r="C993" s="5"/>
      <c r="D993" s="5"/>
      <c r="E993" s="5"/>
      <c r="F993" s="5"/>
    </row>
    <row r="994" spans="2:6" ht="13">
      <c r="B994" s="5"/>
      <c r="C994" s="5"/>
      <c r="D994" s="5"/>
      <c r="E994" s="5"/>
      <c r="F994" s="5"/>
    </row>
    <row r="995" spans="2:6" ht="13">
      <c r="B995" s="5"/>
      <c r="C995" s="5"/>
      <c r="D995" s="5"/>
      <c r="E995" s="5"/>
      <c r="F995" s="5"/>
    </row>
    <row r="996" spans="2:6" ht="13">
      <c r="B996" s="5"/>
      <c r="C996" s="5"/>
      <c r="D996" s="5"/>
      <c r="E996" s="5"/>
      <c r="F996" s="5"/>
    </row>
    <row r="997" spans="2:6" ht="13">
      <c r="B997" s="5"/>
      <c r="C997" s="5"/>
      <c r="D997" s="5"/>
      <c r="E997" s="5"/>
      <c r="F997" s="5"/>
    </row>
    <row r="998" spans="2:6" ht="13">
      <c r="B998" s="5"/>
      <c r="C998" s="5"/>
      <c r="D998" s="5"/>
      <c r="E998" s="5"/>
      <c r="F998" s="5"/>
    </row>
    <row r="999" spans="2:6" ht="13">
      <c r="B999" s="5"/>
      <c r="C999" s="5"/>
      <c r="D999" s="5"/>
      <c r="E999" s="5"/>
      <c r="F999" s="5"/>
    </row>
    <row r="1000" spans="2:6" ht="13">
      <c r="B1000" s="5"/>
      <c r="C1000" s="5"/>
      <c r="D1000" s="5"/>
      <c r="E1000" s="5"/>
      <c r="F1000" s="5"/>
    </row>
    <row r="1001" spans="2:6" ht="13">
      <c r="B1001" s="5"/>
      <c r="C1001" s="5"/>
      <c r="D1001" s="5"/>
      <c r="E1001" s="5"/>
      <c r="F1001" s="5"/>
    </row>
    <row r="1002" spans="2:6" ht="13">
      <c r="B1002" s="5"/>
      <c r="C1002" s="5"/>
      <c r="D1002" s="5"/>
      <c r="E1002" s="5"/>
      <c r="F1002" s="5"/>
    </row>
    <row r="1003" spans="2:6" ht="13">
      <c r="B1003" s="5"/>
      <c r="C1003" s="5"/>
      <c r="D1003" s="5"/>
      <c r="E1003" s="5"/>
      <c r="F1003" s="5"/>
    </row>
    <row r="1004" spans="2:6" ht="13">
      <c r="B1004" s="5"/>
      <c r="C1004" s="5"/>
      <c r="D1004" s="5"/>
      <c r="E1004" s="5"/>
      <c r="F1004" s="5"/>
    </row>
    <row r="1005" spans="2:6" ht="13">
      <c r="B1005" s="5"/>
      <c r="C1005" s="5"/>
      <c r="D1005" s="5"/>
      <c r="E1005" s="5"/>
      <c r="F1005" s="5"/>
    </row>
  </sheetData>
  <mergeCells count="1">
    <mergeCell ref="A22:B22"/>
  </mergeCells>
  <hyperlinks>
    <hyperlink ref="A1" location="Index!A1" display="Index" xr:uid="{00000000-0004-0000-1300-000000000000}"/>
  </hyperlinks>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outlinePr summaryBelow="0" summaryRight="0"/>
  </sheetPr>
  <dimension ref="A1:AA1000"/>
  <sheetViews>
    <sheetView zoomScale="75" workbookViewId="0">
      <selection activeCell="B6" sqref="B6:D6"/>
    </sheetView>
  </sheetViews>
  <sheetFormatPr baseColWidth="10" defaultColWidth="14.33203125" defaultRowHeight="15.75" customHeight="1"/>
  <cols>
    <col min="1" max="1" width="10.6640625" bestFit="1" customWidth="1"/>
    <col min="2" max="2" width="66.83203125" customWidth="1"/>
    <col min="3" max="3" width="23" customWidth="1"/>
    <col min="4" max="4" width="22" customWidth="1"/>
    <col min="5" max="5" width="20" customWidth="1"/>
    <col min="6" max="6" width="16.5" customWidth="1"/>
    <col min="7" max="7" width="18.6640625" customWidth="1"/>
    <col min="8" max="8" width="15.83203125" customWidth="1"/>
    <col min="9" max="9" width="21.83203125" customWidth="1"/>
    <col min="10" max="10" width="11.6640625" customWidth="1"/>
  </cols>
  <sheetData>
    <row r="1" spans="1:27" ht="24.75" customHeight="1">
      <c r="A1" s="116" t="s">
        <v>0</v>
      </c>
      <c r="B1" s="1547" t="s">
        <v>974</v>
      </c>
      <c r="C1" s="1547"/>
      <c r="D1" s="1547"/>
      <c r="E1" s="1547"/>
      <c r="F1" s="1547"/>
      <c r="G1" s="1547"/>
      <c r="H1" s="1547"/>
      <c r="I1" s="3"/>
      <c r="J1" s="3"/>
      <c r="K1" s="3"/>
      <c r="L1" s="3"/>
      <c r="M1" s="3"/>
      <c r="N1" s="3"/>
      <c r="O1" s="3"/>
      <c r="P1" s="3"/>
      <c r="Q1" s="3"/>
      <c r="R1" s="3"/>
      <c r="S1" s="3"/>
      <c r="T1" s="3"/>
      <c r="U1" s="3"/>
      <c r="V1" s="3"/>
      <c r="W1" s="3"/>
      <c r="X1" s="3"/>
      <c r="Y1" s="3"/>
      <c r="Z1" s="3"/>
      <c r="AA1" s="3"/>
    </row>
    <row r="2" spans="1:27" ht="15.75" customHeight="1">
      <c r="A2" s="3"/>
      <c r="B2" s="1547"/>
      <c r="C2" s="1547"/>
      <c r="D2" s="1547"/>
      <c r="E2" s="1547"/>
      <c r="F2" s="1547"/>
      <c r="G2" s="1547"/>
      <c r="H2" s="84" t="s">
        <v>1091</v>
      </c>
      <c r="I2" s="3"/>
      <c r="J2" s="3"/>
      <c r="K2" s="3"/>
      <c r="L2" s="3"/>
      <c r="M2" s="3"/>
      <c r="N2" s="3"/>
      <c r="O2" s="3"/>
      <c r="P2" s="3"/>
      <c r="Q2" s="3"/>
      <c r="R2" s="3"/>
      <c r="S2" s="3"/>
      <c r="T2" s="3"/>
      <c r="U2" s="3"/>
      <c r="V2" s="3"/>
      <c r="W2" s="3"/>
      <c r="X2" s="3"/>
      <c r="Y2" s="3"/>
      <c r="Z2" s="3"/>
      <c r="AA2" s="3"/>
    </row>
    <row r="3" spans="1:27" ht="34">
      <c r="A3" s="8"/>
      <c r="B3" s="212" t="s">
        <v>205</v>
      </c>
      <c r="C3" s="213" t="s">
        <v>206</v>
      </c>
      <c r="D3" s="213" t="s">
        <v>207</v>
      </c>
      <c r="E3" s="213" t="s">
        <v>208</v>
      </c>
      <c r="F3" s="213" t="s">
        <v>209</v>
      </c>
      <c r="G3" s="214" t="s">
        <v>210</v>
      </c>
      <c r="H3" s="674"/>
      <c r="I3" s="1998" t="s">
        <v>199</v>
      </c>
      <c r="J3" s="1999"/>
      <c r="K3" s="3"/>
      <c r="L3" s="3"/>
      <c r="M3" s="3"/>
      <c r="N3" s="3"/>
      <c r="O3" s="3"/>
      <c r="P3" s="3"/>
      <c r="Q3" s="3"/>
      <c r="R3" s="3"/>
      <c r="S3" s="3"/>
      <c r="T3" s="3"/>
      <c r="U3" s="3"/>
      <c r="V3" s="3"/>
      <c r="W3" s="3"/>
      <c r="X3" s="3"/>
      <c r="Y3" s="3"/>
      <c r="Z3" s="3"/>
      <c r="AA3" s="3"/>
    </row>
    <row r="4" spans="1:27" ht="20" customHeight="1">
      <c r="A4" s="14"/>
      <c r="B4" s="215" t="s">
        <v>211</v>
      </c>
      <c r="C4" s="1268">
        <v>0.14000000000000001</v>
      </c>
      <c r="D4" s="216">
        <f t="shared" ref="D4:D5" si="0">F4*(1-E4)</f>
        <v>180</v>
      </c>
      <c r="E4" s="1268">
        <v>0.5</v>
      </c>
      <c r="F4" s="216">
        <f>$J$4*1.2</f>
        <v>360</v>
      </c>
      <c r="G4" s="217">
        <f>(C4*'MK Bases Model (Base Case)'!B16)*D4</f>
        <v>322279.34602906829</v>
      </c>
      <c r="H4" s="674"/>
      <c r="I4" s="218" t="s">
        <v>200</v>
      </c>
      <c r="J4" s="219">
        <f>'MK Bases Model (Base Case)'!B23</f>
        <v>300</v>
      </c>
      <c r="K4" s="3"/>
      <c r="L4" s="3"/>
      <c r="M4" s="3"/>
      <c r="N4" s="3"/>
      <c r="O4" s="3"/>
      <c r="P4" s="3"/>
      <c r="Q4" s="3"/>
      <c r="R4" s="3"/>
      <c r="S4" s="3"/>
      <c r="T4" s="3"/>
      <c r="U4" s="3"/>
      <c r="V4" s="3"/>
      <c r="W4" s="3"/>
      <c r="X4" s="3"/>
      <c r="Y4" s="3"/>
      <c r="Z4" s="3"/>
      <c r="AA4" s="3"/>
    </row>
    <row r="5" spans="1:27" ht="20" customHeight="1">
      <c r="A5" s="14"/>
      <c r="B5" s="220" t="s">
        <v>212</v>
      </c>
      <c r="C5" s="1277">
        <v>0.86</v>
      </c>
      <c r="D5" s="221">
        <f t="shared" si="0"/>
        <v>167.04000000000002</v>
      </c>
      <c r="E5" s="1277">
        <v>0.4</v>
      </c>
      <c r="F5" s="221">
        <f>$J$4*$J$6</f>
        <v>278.40000000000003</v>
      </c>
      <c r="G5" s="222">
        <f>(C5*'MK Bases Model (Base Case)'!B16)*D5</f>
        <v>1837176.4319919916</v>
      </c>
      <c r="H5" s="674"/>
      <c r="I5" s="223" t="s">
        <v>201</v>
      </c>
      <c r="J5" s="224">
        <f>'MK Bases Model (Base Case)'!B24</f>
        <v>1.2</v>
      </c>
      <c r="K5" s="3"/>
      <c r="L5" s="3"/>
      <c r="M5" s="3"/>
      <c r="N5" s="3"/>
      <c r="O5" s="3"/>
      <c r="P5" s="3"/>
      <c r="Q5" s="3"/>
      <c r="R5" s="3"/>
      <c r="S5" s="3"/>
      <c r="T5" s="3"/>
      <c r="U5" s="3"/>
      <c r="V5" s="3"/>
      <c r="W5" s="3"/>
      <c r="X5" s="3"/>
      <c r="Y5" s="3"/>
      <c r="Z5" s="3"/>
      <c r="AA5" s="3"/>
    </row>
    <row r="6" spans="1:27" ht="20" customHeight="1">
      <c r="A6" s="8"/>
      <c r="B6" s="225" t="s">
        <v>213</v>
      </c>
      <c r="C6" s="226">
        <f>SUM(C4:C5)</f>
        <v>1</v>
      </c>
      <c r="D6" s="227">
        <f>((C4*D4)+(C5*D5))*H6</f>
        <v>168.8544</v>
      </c>
      <c r="E6" s="228"/>
      <c r="F6" s="228"/>
      <c r="G6" s="217">
        <f>SUM(G4:G5)</f>
        <v>2159455.7780210599</v>
      </c>
      <c r="H6" s="229">
        <v>1</v>
      </c>
      <c r="I6" s="230" t="s">
        <v>202</v>
      </c>
      <c r="J6" s="231">
        <f>'MK Bases Model (Base Case)'!B25</f>
        <v>0.92800000000000005</v>
      </c>
      <c r="K6" s="3"/>
      <c r="L6" s="3"/>
      <c r="M6" s="3"/>
      <c r="N6" s="3"/>
      <c r="O6" s="3"/>
      <c r="P6" s="3"/>
      <c r="Q6" s="3"/>
      <c r="R6" s="3"/>
      <c r="S6" s="3"/>
      <c r="T6" s="3"/>
      <c r="U6" s="3"/>
      <c r="V6" s="3"/>
      <c r="W6" s="3"/>
      <c r="X6" s="3"/>
      <c r="Y6" s="3"/>
      <c r="Z6" s="3"/>
      <c r="AA6" s="3"/>
    </row>
    <row r="7" spans="1:27" ht="20" customHeight="1">
      <c r="A7" s="8"/>
      <c r="B7" s="232" t="s">
        <v>214</v>
      </c>
      <c r="C7" s="233"/>
      <c r="D7" s="233"/>
      <c r="E7" s="233"/>
      <c r="F7" s="234">
        <f>(C4*F4+C5*F5)*H7</f>
        <v>289.82400000000007</v>
      </c>
      <c r="G7" s="235"/>
      <c r="H7" s="229">
        <v>1</v>
      </c>
      <c r="I7" s="230" t="s">
        <v>203</v>
      </c>
      <c r="J7" s="231">
        <f>'MK Bases Model (Base Case)'!B26</f>
        <v>0.92800000000000005</v>
      </c>
      <c r="K7" s="3"/>
      <c r="L7" s="3"/>
      <c r="M7" s="3"/>
      <c r="N7" s="3"/>
      <c r="O7" s="3"/>
      <c r="P7" s="3"/>
      <c r="Q7" s="3"/>
      <c r="R7" s="3"/>
      <c r="S7" s="3"/>
      <c r="T7" s="3"/>
      <c r="U7" s="3"/>
      <c r="V7" s="3"/>
      <c r="W7" s="3"/>
      <c r="X7" s="3"/>
      <c r="Y7" s="3"/>
      <c r="Z7" s="3"/>
      <c r="AA7" s="3"/>
    </row>
    <row r="8" spans="1:27" ht="20" customHeight="1">
      <c r="A8" s="3"/>
      <c r="B8" s="3"/>
      <c r="C8" s="6"/>
      <c r="D8" s="6"/>
      <c r="E8" s="6"/>
      <c r="F8" s="6"/>
      <c r="G8" s="6"/>
      <c r="H8" s="6"/>
      <c r="I8" s="236" t="s">
        <v>204</v>
      </c>
      <c r="J8" s="237">
        <f>'MK Bases Model (Base Case)'!B27</f>
        <v>0.71699999999999997</v>
      </c>
      <c r="K8" s="3"/>
      <c r="L8" s="3"/>
      <c r="M8" s="3"/>
      <c r="N8" s="3"/>
      <c r="O8" s="3"/>
      <c r="P8" s="3"/>
      <c r="Q8" s="3"/>
      <c r="R8" s="3"/>
      <c r="S8" s="3"/>
      <c r="T8" s="3"/>
      <c r="U8" s="3"/>
      <c r="V8" s="3"/>
      <c r="W8" s="3"/>
      <c r="X8" s="3"/>
      <c r="Y8" s="3"/>
      <c r="Z8" s="3"/>
      <c r="AA8" s="3"/>
    </row>
    <row r="9" spans="1:27" ht="20" customHeight="1">
      <c r="A9" s="130"/>
      <c r="B9" s="130"/>
      <c r="C9" s="6"/>
      <c r="D9" s="6"/>
      <c r="E9" s="6"/>
      <c r="F9" s="6"/>
      <c r="G9" s="6"/>
      <c r="H9" s="58"/>
      <c r="I9" s="238" t="s">
        <v>215</v>
      </c>
      <c r="J9" s="3"/>
      <c r="K9" s="3"/>
      <c r="L9" s="3"/>
      <c r="M9" s="3"/>
      <c r="N9" s="3"/>
      <c r="O9" s="3"/>
      <c r="P9" s="3"/>
      <c r="Q9" s="3"/>
      <c r="R9" s="3"/>
      <c r="S9" s="3"/>
      <c r="T9" s="3"/>
      <c r="U9" s="3"/>
      <c r="V9" s="3"/>
      <c r="W9" s="3"/>
      <c r="X9" s="3"/>
      <c r="Y9" s="3"/>
      <c r="Z9" s="3"/>
      <c r="AA9" s="3"/>
    </row>
    <row r="10" spans="1:27" ht="34">
      <c r="A10" s="8"/>
      <c r="B10" s="212" t="s">
        <v>216</v>
      </c>
      <c r="C10" s="213" t="s">
        <v>206</v>
      </c>
      <c r="D10" s="213" t="s">
        <v>207</v>
      </c>
      <c r="E10" s="213" t="s">
        <v>208</v>
      </c>
      <c r="F10" s="213" t="s">
        <v>209</v>
      </c>
      <c r="G10" s="214" t="s">
        <v>210</v>
      </c>
      <c r="H10" s="6"/>
      <c r="I10" s="3"/>
      <c r="J10" s="3"/>
      <c r="K10" s="3"/>
      <c r="L10" s="3"/>
      <c r="M10" s="3"/>
      <c r="N10" s="3"/>
      <c r="O10" s="3"/>
      <c r="P10" s="3"/>
      <c r="Q10" s="3"/>
      <c r="R10" s="3"/>
      <c r="S10" s="3"/>
      <c r="T10" s="3"/>
      <c r="U10" s="3"/>
      <c r="V10" s="3"/>
      <c r="W10" s="3"/>
      <c r="X10" s="3"/>
      <c r="Y10" s="3"/>
      <c r="Z10" s="3"/>
      <c r="AA10" s="3"/>
    </row>
    <row r="11" spans="1:27" ht="20" customHeight="1">
      <c r="A11" s="14"/>
      <c r="B11" s="215" t="s">
        <v>211</v>
      </c>
      <c r="C11" s="1268">
        <v>0.28999999999999998</v>
      </c>
      <c r="D11" s="216">
        <f>E11*F11</f>
        <v>180</v>
      </c>
      <c r="E11" s="1268">
        <v>0.5</v>
      </c>
      <c r="F11" s="216">
        <f>J4*J5</f>
        <v>360</v>
      </c>
      <c r="G11" s="217">
        <f>(C11*'MK Bases Model (Base Case)'!C16)*D11</f>
        <v>954777.66302219464</v>
      </c>
      <c r="H11" s="6"/>
      <c r="I11" s="3"/>
      <c r="J11" s="3"/>
      <c r="K11" s="3"/>
      <c r="L11" s="3"/>
      <c r="M11" s="3"/>
      <c r="N11" s="3"/>
      <c r="O11" s="3"/>
      <c r="P11" s="3"/>
      <c r="Q11" s="3"/>
      <c r="R11" s="3"/>
      <c r="S11" s="3"/>
      <c r="T11" s="3"/>
      <c r="U11" s="3"/>
      <c r="V11" s="3"/>
      <c r="W11" s="3"/>
      <c r="X11" s="3"/>
      <c r="Y11" s="3"/>
      <c r="Z11" s="3"/>
      <c r="AA11" s="3"/>
    </row>
    <row r="12" spans="1:27" ht="20" customHeight="1">
      <c r="A12" s="14"/>
      <c r="B12" s="220" t="s">
        <v>212</v>
      </c>
      <c r="C12" s="1277">
        <v>0.71</v>
      </c>
      <c r="D12" s="221">
        <f>F12*(1-E12)</f>
        <v>167.04000000000002</v>
      </c>
      <c r="E12" s="1277">
        <v>0.4</v>
      </c>
      <c r="F12" s="221">
        <f>$J$4*$J$6</f>
        <v>278.40000000000003</v>
      </c>
      <c r="G12" s="222">
        <f>(C12*'MK Bases Model (Base Case)'!C16)*D12</f>
        <v>2169254.8503864268</v>
      </c>
      <c r="H12" s="6"/>
      <c r="I12" s="3"/>
      <c r="J12" s="3"/>
      <c r="K12" s="3"/>
      <c r="L12" s="3"/>
      <c r="M12" s="3"/>
      <c r="N12" s="3"/>
      <c r="O12" s="3"/>
      <c r="P12" s="3"/>
      <c r="Q12" s="3"/>
      <c r="R12" s="3"/>
      <c r="S12" s="3"/>
      <c r="T12" s="3"/>
      <c r="U12" s="3"/>
      <c r="V12" s="3"/>
      <c r="W12" s="3"/>
      <c r="X12" s="3"/>
      <c r="Y12" s="3"/>
      <c r="Z12" s="3"/>
      <c r="AA12" s="3"/>
    </row>
    <row r="13" spans="1:27" ht="20" customHeight="1">
      <c r="A13" s="8"/>
      <c r="B13" s="225" t="s">
        <v>213</v>
      </c>
      <c r="C13" s="226">
        <f>SUM(C11:C12)</f>
        <v>1</v>
      </c>
      <c r="D13" s="227">
        <f>((C11*D11)+(C12*D12))*H6</f>
        <v>170.79840000000002</v>
      </c>
      <c r="E13" s="228"/>
      <c r="F13" s="228"/>
      <c r="G13" s="217">
        <f>SUM(G11:G12)</f>
        <v>3124032.5134086213</v>
      </c>
      <c r="H13" s="239"/>
      <c r="I13" s="3"/>
      <c r="J13" s="3"/>
      <c r="K13" s="3"/>
      <c r="L13" s="3"/>
      <c r="M13" s="3"/>
      <c r="N13" s="3"/>
      <c r="O13" s="3"/>
      <c r="P13" s="3"/>
      <c r="Q13" s="3"/>
      <c r="R13" s="3"/>
      <c r="S13" s="3"/>
      <c r="T13" s="3"/>
      <c r="U13" s="3"/>
      <c r="V13" s="3"/>
      <c r="W13" s="3"/>
      <c r="X13" s="3"/>
      <c r="Y13" s="3"/>
      <c r="Z13" s="3"/>
      <c r="AA13" s="3"/>
    </row>
    <row r="14" spans="1:27" ht="20" customHeight="1">
      <c r="A14" s="8"/>
      <c r="B14" s="232" t="s">
        <v>214</v>
      </c>
      <c r="C14" s="233"/>
      <c r="D14" s="221"/>
      <c r="E14" s="233"/>
      <c r="F14" s="234">
        <f>(C11*F11+C12*F12)*H7</f>
        <v>302.06400000000002</v>
      </c>
      <c r="G14" s="235"/>
      <c r="H14" s="239"/>
      <c r="I14" s="3"/>
      <c r="J14" s="3"/>
      <c r="K14" s="3"/>
      <c r="L14" s="3"/>
      <c r="M14" s="3"/>
      <c r="N14" s="3"/>
      <c r="O14" s="3"/>
      <c r="P14" s="3"/>
      <c r="Q14" s="3"/>
      <c r="R14" s="3"/>
      <c r="S14" s="3"/>
      <c r="T14" s="3"/>
      <c r="U14" s="3"/>
      <c r="V14" s="3"/>
      <c r="W14" s="3"/>
      <c r="X14" s="3"/>
      <c r="Y14" s="3"/>
      <c r="Z14" s="3"/>
      <c r="AA14" s="3"/>
    </row>
    <row r="15" spans="1:27" ht="20" customHeight="1">
      <c r="A15" s="3"/>
      <c r="B15" s="3"/>
      <c r="C15" s="6"/>
      <c r="D15" s="6"/>
      <c r="E15" s="6"/>
      <c r="F15" s="6"/>
      <c r="G15" s="6"/>
      <c r="H15" s="6"/>
      <c r="I15" s="3"/>
      <c r="J15" s="3"/>
      <c r="K15" s="3"/>
      <c r="L15" s="3"/>
      <c r="M15" s="3"/>
      <c r="N15" s="3"/>
      <c r="O15" s="3"/>
      <c r="P15" s="3"/>
      <c r="Q15" s="3"/>
      <c r="R15" s="3"/>
      <c r="S15" s="3"/>
      <c r="T15" s="3"/>
      <c r="U15" s="3"/>
      <c r="V15" s="3"/>
      <c r="W15" s="3"/>
      <c r="X15" s="3"/>
      <c r="Y15" s="3"/>
      <c r="Z15" s="3"/>
      <c r="AA15" s="3"/>
    </row>
    <row r="16" spans="1:27" ht="20" customHeight="1">
      <c r="A16" s="3"/>
      <c r="B16" s="3"/>
      <c r="C16" s="6"/>
      <c r="D16" s="6"/>
      <c r="E16" s="6"/>
      <c r="F16" s="6"/>
      <c r="G16" s="6"/>
      <c r="H16" s="58"/>
      <c r="I16" s="3"/>
      <c r="J16" s="3"/>
      <c r="K16" s="3"/>
      <c r="L16" s="3"/>
      <c r="M16" s="3"/>
      <c r="N16" s="3"/>
      <c r="O16" s="3"/>
      <c r="P16" s="3"/>
      <c r="Q16" s="3"/>
      <c r="R16" s="3"/>
      <c r="S16" s="3"/>
      <c r="T16" s="3"/>
      <c r="U16" s="3"/>
      <c r="V16" s="3"/>
      <c r="W16" s="3"/>
      <c r="X16" s="3"/>
      <c r="Y16" s="3"/>
      <c r="Z16" s="3"/>
      <c r="AA16" s="3"/>
    </row>
    <row r="17" spans="1:27" ht="20" customHeight="1">
      <c r="A17" s="8"/>
      <c r="B17" s="212" t="s">
        <v>217</v>
      </c>
      <c r="C17" s="213" t="s">
        <v>206</v>
      </c>
      <c r="D17" s="213" t="s">
        <v>207</v>
      </c>
      <c r="E17" s="213" t="s">
        <v>208</v>
      </c>
      <c r="F17" s="240" t="s">
        <v>209</v>
      </c>
      <c r="G17" s="214" t="s">
        <v>210</v>
      </c>
      <c r="H17" s="6"/>
      <c r="I17" s="3"/>
      <c r="J17" s="3"/>
      <c r="K17" s="3"/>
      <c r="L17" s="3"/>
      <c r="M17" s="3"/>
      <c r="N17" s="3"/>
      <c r="O17" s="3"/>
      <c r="P17" s="3"/>
      <c r="Q17" s="3"/>
      <c r="R17" s="3"/>
      <c r="S17" s="3"/>
      <c r="T17" s="3"/>
      <c r="U17" s="3"/>
      <c r="V17" s="3"/>
      <c r="W17" s="3"/>
      <c r="X17" s="3"/>
      <c r="Y17" s="3"/>
      <c r="Z17" s="3"/>
      <c r="AA17" s="3"/>
    </row>
    <row r="18" spans="1:27" ht="20" customHeight="1">
      <c r="A18" s="14"/>
      <c r="B18" s="215" t="s">
        <v>211</v>
      </c>
      <c r="C18" s="1268">
        <v>0.27300000000000002</v>
      </c>
      <c r="D18" s="216">
        <f t="shared" ref="D18:D20" si="1">F18*(1-E18)</f>
        <v>180</v>
      </c>
      <c r="E18" s="1279">
        <v>0.5</v>
      </c>
      <c r="F18" s="241">
        <f>$J$4*1.2</f>
        <v>360</v>
      </c>
      <c r="G18" s="242">
        <f>(C18*'MK Bases Model (Base Case)'!$D$16)*D18</f>
        <v>2166393.4881924125</v>
      </c>
      <c r="H18" s="6"/>
      <c r="I18" s="3"/>
      <c r="J18" s="3"/>
      <c r="K18" s="3"/>
      <c r="L18" s="3"/>
      <c r="M18" s="3"/>
      <c r="N18" s="3"/>
      <c r="O18" s="3"/>
      <c r="P18" s="3"/>
      <c r="Q18" s="3"/>
      <c r="R18" s="3"/>
      <c r="S18" s="3"/>
      <c r="T18" s="3"/>
      <c r="U18" s="3"/>
      <c r="V18" s="3"/>
      <c r="W18" s="3"/>
      <c r="X18" s="3"/>
      <c r="Y18" s="3"/>
      <c r="Z18" s="3"/>
      <c r="AA18" s="3"/>
    </row>
    <row r="19" spans="1:27" ht="20" customHeight="1">
      <c r="A19" s="14"/>
      <c r="B19" s="243" t="s">
        <v>212</v>
      </c>
      <c r="C19" s="1278">
        <v>0.54500000000000004</v>
      </c>
      <c r="D19" s="244">
        <f t="shared" si="1"/>
        <v>167.04000000000002</v>
      </c>
      <c r="E19" s="1280">
        <v>0.4</v>
      </c>
      <c r="F19" s="245">
        <f>$J$4*$J$6</f>
        <v>278.40000000000003</v>
      </c>
      <c r="G19" s="242">
        <f>(C19*'MK Bases Model (Base Case)'!$D$16)*D19</f>
        <v>4013462.1633267207</v>
      </c>
      <c r="H19" s="6"/>
      <c r="I19" s="3"/>
      <c r="J19" s="3"/>
      <c r="K19" s="3"/>
      <c r="L19" s="3"/>
      <c r="M19" s="3"/>
      <c r="N19" s="3"/>
      <c r="O19" s="3"/>
      <c r="P19" s="3"/>
      <c r="Q19" s="3"/>
      <c r="R19" s="3"/>
      <c r="S19" s="3"/>
      <c r="T19" s="3"/>
      <c r="U19" s="3"/>
      <c r="V19" s="3"/>
      <c r="W19" s="3"/>
      <c r="X19" s="3"/>
      <c r="Y19" s="3"/>
      <c r="Z19" s="3"/>
      <c r="AA19" s="3"/>
    </row>
    <row r="20" spans="1:27" ht="20" customHeight="1">
      <c r="A20" s="14"/>
      <c r="B20" s="220" t="s">
        <v>218</v>
      </c>
      <c r="C20" s="1277">
        <v>0.182</v>
      </c>
      <c r="D20" s="221">
        <f t="shared" si="1"/>
        <v>153.12000000000003</v>
      </c>
      <c r="E20" s="1281">
        <v>0.45</v>
      </c>
      <c r="F20" s="246">
        <f>$J$7*$J$4</f>
        <v>278.40000000000003</v>
      </c>
      <c r="G20" s="247">
        <f>(C20*'MK Bases Model (Base Case)'!$D$16)*D20</f>
        <v>1228585.818192675</v>
      </c>
      <c r="H20" s="6"/>
      <c r="I20" s="3"/>
      <c r="J20" s="3"/>
      <c r="K20" s="3"/>
      <c r="L20" s="3"/>
      <c r="M20" s="3"/>
      <c r="N20" s="3"/>
      <c r="O20" s="3"/>
      <c r="P20" s="3"/>
      <c r="Q20" s="3"/>
      <c r="R20" s="3"/>
      <c r="S20" s="3"/>
      <c r="T20" s="3"/>
      <c r="U20" s="3"/>
      <c r="V20" s="3"/>
      <c r="W20" s="3"/>
      <c r="X20" s="3"/>
      <c r="Y20" s="3"/>
      <c r="Z20" s="3"/>
      <c r="AA20" s="3"/>
    </row>
    <row r="21" spans="1:27" ht="20" customHeight="1">
      <c r="A21" s="8"/>
      <c r="B21" s="225" t="s">
        <v>213</v>
      </c>
      <c r="C21" s="226">
        <f>SUM(C18:C20)</f>
        <v>1</v>
      </c>
      <c r="D21" s="227">
        <f>(C18*D18+C19*D19+C20*D20)*H6</f>
        <v>168.04464000000002</v>
      </c>
      <c r="E21" s="216"/>
      <c r="F21" s="248"/>
      <c r="G21" s="217">
        <f>SUM(G18:G20)</f>
        <v>7408441.4697118076</v>
      </c>
      <c r="H21" s="239"/>
      <c r="I21" s="3"/>
      <c r="J21" s="3"/>
      <c r="K21" s="3"/>
      <c r="L21" s="3"/>
      <c r="M21" s="3"/>
      <c r="N21" s="3"/>
      <c r="O21" s="3"/>
      <c r="P21" s="3"/>
      <c r="Q21" s="3"/>
      <c r="R21" s="3"/>
      <c r="S21" s="3"/>
      <c r="T21" s="3"/>
      <c r="U21" s="3"/>
      <c r="V21" s="3"/>
      <c r="W21" s="3"/>
      <c r="X21" s="3"/>
      <c r="Y21" s="3"/>
      <c r="Z21" s="3"/>
      <c r="AA21" s="3"/>
    </row>
    <row r="22" spans="1:27" ht="20" customHeight="1">
      <c r="A22" s="8"/>
      <c r="B22" s="232" t="s">
        <v>214</v>
      </c>
      <c r="C22" s="233"/>
      <c r="D22" s="221"/>
      <c r="E22" s="221"/>
      <c r="F22" s="234">
        <f>((C18*F18)+(C19*F19)+(C20*F20))*H7</f>
        <v>300.67680000000007</v>
      </c>
      <c r="G22" s="235"/>
      <c r="H22" s="239"/>
      <c r="I22" s="3"/>
      <c r="J22" s="3"/>
      <c r="K22" s="3"/>
      <c r="L22" s="3"/>
      <c r="M22" s="3"/>
      <c r="N22" s="3"/>
      <c r="O22" s="3"/>
      <c r="P22" s="3"/>
      <c r="Q22" s="3"/>
      <c r="R22" s="3"/>
      <c r="S22" s="3"/>
      <c r="T22" s="3"/>
      <c r="U22" s="3"/>
      <c r="V22" s="3"/>
      <c r="W22" s="3"/>
      <c r="X22" s="3"/>
      <c r="Y22" s="3"/>
      <c r="Z22" s="3"/>
      <c r="AA22" s="3"/>
    </row>
    <row r="23" spans="1:27" ht="20" customHeight="1">
      <c r="A23" s="3"/>
      <c r="B23" s="3"/>
      <c r="C23" s="6"/>
      <c r="D23" s="6"/>
      <c r="E23" s="6"/>
      <c r="F23" s="6"/>
      <c r="G23" s="6"/>
      <c r="H23" s="6"/>
      <c r="I23" s="3"/>
      <c r="J23" s="3"/>
      <c r="K23" s="3"/>
      <c r="L23" s="3"/>
      <c r="M23" s="3"/>
      <c r="N23" s="3"/>
      <c r="O23" s="3"/>
      <c r="P23" s="3"/>
      <c r="Q23" s="3"/>
      <c r="R23" s="3"/>
      <c r="S23" s="3"/>
      <c r="T23" s="3"/>
      <c r="U23" s="3"/>
      <c r="V23" s="3"/>
      <c r="W23" s="3"/>
      <c r="X23" s="3"/>
      <c r="Y23" s="3"/>
      <c r="Z23" s="3"/>
      <c r="AA23" s="3"/>
    </row>
    <row r="24" spans="1:27" ht="20" customHeight="1">
      <c r="A24" s="3"/>
      <c r="B24" s="3"/>
      <c r="C24" s="6"/>
      <c r="D24" s="6"/>
      <c r="E24" s="6"/>
      <c r="F24" s="6"/>
      <c r="G24" s="6"/>
      <c r="H24" s="58"/>
      <c r="I24" s="3"/>
      <c r="J24" s="3"/>
      <c r="K24" s="3"/>
      <c r="L24" s="3"/>
      <c r="M24" s="3"/>
      <c r="N24" s="3"/>
      <c r="O24" s="3"/>
      <c r="P24" s="3"/>
      <c r="Q24" s="3"/>
      <c r="R24" s="3"/>
      <c r="S24" s="3"/>
      <c r="T24" s="3"/>
      <c r="U24" s="3"/>
      <c r="V24" s="3"/>
      <c r="W24" s="3"/>
      <c r="X24" s="3"/>
      <c r="Y24" s="3"/>
      <c r="Z24" s="3"/>
      <c r="AA24" s="3"/>
    </row>
    <row r="25" spans="1:27" ht="20" customHeight="1">
      <c r="A25" s="8"/>
      <c r="B25" s="212" t="s">
        <v>219</v>
      </c>
      <c r="C25" s="213" t="s">
        <v>206</v>
      </c>
      <c r="D25" s="213" t="s">
        <v>207</v>
      </c>
      <c r="E25" s="213" t="s">
        <v>208</v>
      </c>
      <c r="F25" s="213" t="s">
        <v>209</v>
      </c>
      <c r="G25" s="214" t="s">
        <v>210</v>
      </c>
      <c r="H25" s="6"/>
      <c r="I25" s="3"/>
      <c r="J25" s="3"/>
      <c r="K25" s="3"/>
      <c r="L25" s="3"/>
      <c r="M25" s="3"/>
      <c r="N25" s="3"/>
      <c r="O25" s="3"/>
      <c r="P25" s="3"/>
      <c r="Q25" s="3"/>
      <c r="R25" s="3"/>
      <c r="S25" s="3"/>
      <c r="T25" s="3"/>
      <c r="U25" s="3"/>
      <c r="V25" s="3"/>
      <c r="W25" s="3"/>
      <c r="X25" s="3"/>
      <c r="Y25" s="3"/>
      <c r="Z25" s="3"/>
      <c r="AA25" s="3"/>
    </row>
    <row r="26" spans="1:27" ht="20" customHeight="1">
      <c r="A26" s="14"/>
      <c r="B26" s="215" t="s">
        <v>211</v>
      </c>
      <c r="C26" s="1268">
        <v>0.185</v>
      </c>
      <c r="D26" s="249">
        <f t="shared" ref="D26:D29" si="2">F26*(1-E26)</f>
        <v>180</v>
      </c>
      <c r="E26" s="1268">
        <v>0.5</v>
      </c>
      <c r="F26" s="244">
        <f>$J$4*1.2</f>
        <v>360</v>
      </c>
      <c r="G26" s="217">
        <f>(C26*'MK Bases Model (Base Case)'!$E$16)*D26</f>
        <v>1847883.4747412631</v>
      </c>
      <c r="H26" s="6"/>
      <c r="I26" s="3"/>
      <c r="J26" s="3"/>
      <c r="K26" s="3"/>
      <c r="L26" s="3"/>
      <c r="M26" s="3"/>
      <c r="N26" s="3"/>
      <c r="O26" s="3"/>
      <c r="P26" s="3"/>
      <c r="Q26" s="3"/>
      <c r="R26" s="3"/>
      <c r="S26" s="3"/>
      <c r="T26" s="3"/>
      <c r="U26" s="3"/>
      <c r="V26" s="3"/>
      <c r="W26" s="3"/>
      <c r="X26" s="3"/>
      <c r="Y26" s="3"/>
      <c r="Z26" s="3"/>
      <c r="AA26" s="3"/>
    </row>
    <row r="27" spans="1:27" ht="20" customHeight="1">
      <c r="A27" s="14"/>
      <c r="B27" s="243" t="s">
        <v>212</v>
      </c>
      <c r="C27" s="1278">
        <v>0.44400000000000001</v>
      </c>
      <c r="D27" s="250">
        <f t="shared" si="2"/>
        <v>167.04000000000002</v>
      </c>
      <c r="E27" s="1278">
        <v>0.4</v>
      </c>
      <c r="F27" s="244">
        <f>$J$4*$J$6</f>
        <v>278.40000000000003</v>
      </c>
      <c r="G27" s="217">
        <f>(C27*'MK Bases Model (Base Case)'!$E$16)*D27</f>
        <v>4115606.0749437422</v>
      </c>
      <c r="H27" s="6"/>
      <c r="I27" s="3"/>
      <c r="J27" s="3"/>
      <c r="K27" s="3"/>
      <c r="L27" s="3"/>
      <c r="M27" s="3"/>
      <c r="N27" s="3"/>
      <c r="O27" s="3"/>
      <c r="P27" s="3"/>
      <c r="Q27" s="3"/>
      <c r="R27" s="3"/>
      <c r="S27" s="3"/>
      <c r="T27" s="3"/>
      <c r="U27" s="3"/>
      <c r="V27" s="3"/>
      <c r="W27" s="3"/>
      <c r="X27" s="3"/>
      <c r="Y27" s="3"/>
      <c r="Z27" s="3"/>
      <c r="AA27" s="3"/>
    </row>
    <row r="28" spans="1:27" ht="20" customHeight="1">
      <c r="A28" s="14"/>
      <c r="B28" s="243" t="s">
        <v>218</v>
      </c>
      <c r="C28" s="1278">
        <v>0.185</v>
      </c>
      <c r="D28" s="250">
        <f t="shared" si="2"/>
        <v>153.12000000000003</v>
      </c>
      <c r="E28" s="1278">
        <v>0.45</v>
      </c>
      <c r="F28" s="244">
        <f>$J$7*$J$4</f>
        <v>278.40000000000003</v>
      </c>
      <c r="G28" s="217">
        <f>(C28*'MK Bases Model (Base Case)'!$E$16)*D28</f>
        <v>1571932.875846568</v>
      </c>
      <c r="H28" s="6"/>
      <c r="I28" s="3"/>
      <c r="J28" s="3"/>
      <c r="K28" s="3"/>
      <c r="L28" s="3"/>
      <c r="M28" s="3"/>
      <c r="N28" s="3"/>
      <c r="O28" s="3"/>
      <c r="P28" s="3"/>
      <c r="Q28" s="3"/>
      <c r="R28" s="3"/>
      <c r="S28" s="3"/>
      <c r="T28" s="3"/>
      <c r="U28" s="3"/>
      <c r="V28" s="3"/>
      <c r="W28" s="3"/>
      <c r="X28" s="3"/>
      <c r="Y28" s="3"/>
      <c r="Z28" s="3"/>
      <c r="AA28" s="3"/>
    </row>
    <row r="29" spans="1:27" ht="20" customHeight="1">
      <c r="A29" s="14"/>
      <c r="B29" s="220" t="s">
        <v>220</v>
      </c>
      <c r="C29" s="1277">
        <v>0.185</v>
      </c>
      <c r="D29" s="251">
        <f t="shared" si="2"/>
        <v>129.06</v>
      </c>
      <c r="E29" s="1282">
        <v>0.4</v>
      </c>
      <c r="F29" s="251">
        <f>$J$4*$J$8</f>
        <v>215.1</v>
      </c>
      <c r="G29" s="252">
        <f>(C29*'MK Bases Model (Base Case)'!$E$16)*D29</f>
        <v>1324932.4513894857</v>
      </c>
      <c r="H29" s="6"/>
      <c r="I29" s="3"/>
      <c r="J29" s="3"/>
      <c r="K29" s="3"/>
      <c r="L29" s="3"/>
      <c r="M29" s="3"/>
      <c r="N29" s="3"/>
      <c r="O29" s="3"/>
      <c r="P29" s="3"/>
      <c r="Q29" s="3"/>
      <c r="R29" s="3"/>
      <c r="S29" s="3"/>
      <c r="T29" s="3"/>
      <c r="U29" s="3"/>
      <c r="V29" s="3"/>
      <c r="W29" s="3"/>
      <c r="X29" s="3"/>
      <c r="Y29" s="3"/>
      <c r="Z29" s="3"/>
      <c r="AA29" s="3"/>
    </row>
    <row r="30" spans="1:27" ht="20" customHeight="1">
      <c r="A30" s="8"/>
      <c r="B30" s="225" t="s">
        <v>213</v>
      </c>
      <c r="C30" s="226">
        <f>SUM(C26:C29)</f>
        <v>0.99900000000000011</v>
      </c>
      <c r="D30" s="227">
        <f>(C26*D26+C27*D27+C28*D28+C29*D29)*H6</f>
        <v>159.66906</v>
      </c>
      <c r="E30" s="228"/>
      <c r="F30" s="216"/>
      <c r="G30" s="217">
        <f>SUM(G26:G29)</f>
        <v>8860354.8769210596</v>
      </c>
      <c r="H30" s="239"/>
      <c r="I30" s="3"/>
      <c r="J30" s="3"/>
      <c r="K30" s="3"/>
      <c r="L30" s="3"/>
      <c r="M30" s="3"/>
      <c r="N30" s="3"/>
      <c r="O30" s="3"/>
      <c r="P30" s="3"/>
      <c r="Q30" s="3"/>
      <c r="R30" s="3"/>
      <c r="S30" s="3"/>
      <c r="T30" s="3"/>
      <c r="U30" s="3"/>
      <c r="V30" s="3"/>
      <c r="W30" s="3"/>
      <c r="X30" s="3"/>
      <c r="Y30" s="3"/>
      <c r="Z30" s="3"/>
      <c r="AA30" s="3"/>
    </row>
    <row r="31" spans="1:27" ht="20" customHeight="1">
      <c r="A31" s="8"/>
      <c r="B31" s="232" t="s">
        <v>214</v>
      </c>
      <c r="C31" s="233"/>
      <c r="D31" s="233"/>
      <c r="E31" s="233"/>
      <c r="F31" s="234">
        <f>((C26*F26)+(C27*F27)+(C28*F28)+(C29*F29))*H7</f>
        <v>281.50710000000004</v>
      </c>
      <c r="G31" s="235"/>
      <c r="H31" s="239"/>
      <c r="I31" s="3"/>
      <c r="J31" s="3"/>
      <c r="K31" s="3"/>
      <c r="L31" s="3"/>
      <c r="M31" s="3"/>
      <c r="N31" s="3"/>
      <c r="O31" s="3"/>
      <c r="P31" s="3"/>
      <c r="Q31" s="3"/>
      <c r="R31" s="3"/>
      <c r="S31" s="3"/>
      <c r="T31" s="3"/>
      <c r="U31" s="3"/>
      <c r="V31" s="3"/>
      <c r="W31" s="3"/>
      <c r="X31" s="3"/>
      <c r="Y31" s="3"/>
      <c r="Z31" s="3"/>
      <c r="AA31" s="3"/>
    </row>
    <row r="32" spans="1:27" ht="20" customHeight="1">
      <c r="A32" s="3"/>
      <c r="B32" s="3"/>
      <c r="C32" s="6"/>
      <c r="D32" s="6"/>
      <c r="E32" s="6"/>
      <c r="F32" s="6"/>
      <c r="G32" s="6"/>
      <c r="H32" s="6"/>
      <c r="I32" s="3"/>
      <c r="J32" s="3"/>
      <c r="K32" s="3"/>
      <c r="L32" s="3"/>
      <c r="M32" s="3"/>
      <c r="N32" s="3"/>
      <c r="O32" s="3"/>
      <c r="P32" s="3"/>
      <c r="Q32" s="3"/>
      <c r="R32" s="3"/>
      <c r="S32" s="3"/>
      <c r="T32" s="3"/>
      <c r="U32" s="3"/>
      <c r="V32" s="3"/>
      <c r="W32" s="3"/>
      <c r="X32" s="3"/>
      <c r="Y32" s="3"/>
      <c r="Z32" s="3"/>
      <c r="AA32" s="3"/>
    </row>
    <row r="33" spans="1:27" ht="20" customHeight="1">
      <c r="A33" s="3"/>
      <c r="B33" s="3"/>
      <c r="C33" s="6"/>
      <c r="D33" s="6"/>
      <c r="E33" s="6"/>
      <c r="F33" s="6"/>
      <c r="G33" s="6"/>
      <c r="H33" s="58"/>
      <c r="I33" s="3"/>
      <c r="J33" s="3"/>
      <c r="K33" s="3"/>
      <c r="L33" s="3"/>
      <c r="M33" s="3"/>
      <c r="N33" s="3"/>
      <c r="O33" s="3"/>
      <c r="P33" s="3"/>
      <c r="Q33" s="3"/>
      <c r="R33" s="3"/>
      <c r="S33" s="3"/>
      <c r="T33" s="3"/>
      <c r="U33" s="3"/>
      <c r="V33" s="3"/>
      <c r="W33" s="3"/>
      <c r="X33" s="3"/>
      <c r="Y33" s="3"/>
      <c r="Z33" s="3"/>
      <c r="AA33" s="3"/>
    </row>
    <row r="34" spans="1:27" ht="20" customHeight="1">
      <c r="A34" s="8"/>
      <c r="B34" s="212" t="s">
        <v>221</v>
      </c>
      <c r="C34" s="213" t="s">
        <v>206</v>
      </c>
      <c r="D34" s="213" t="s">
        <v>207</v>
      </c>
      <c r="E34" s="213" t="s">
        <v>208</v>
      </c>
      <c r="F34" s="213" t="s">
        <v>209</v>
      </c>
      <c r="G34" s="214" t="s">
        <v>210</v>
      </c>
      <c r="H34" s="6"/>
      <c r="I34" s="3"/>
      <c r="J34" s="3"/>
      <c r="K34" s="3"/>
      <c r="L34" s="3"/>
      <c r="M34" s="3"/>
      <c r="N34" s="3"/>
      <c r="O34" s="3"/>
      <c r="P34" s="3"/>
      <c r="Q34" s="3"/>
      <c r="R34" s="3"/>
      <c r="S34" s="3"/>
      <c r="T34" s="3"/>
      <c r="U34" s="3"/>
      <c r="V34" s="3"/>
      <c r="W34" s="3"/>
      <c r="X34" s="3"/>
      <c r="Y34" s="3"/>
      <c r="Z34" s="3"/>
      <c r="AA34" s="3"/>
    </row>
    <row r="35" spans="1:27" ht="20" customHeight="1">
      <c r="A35" s="14"/>
      <c r="B35" s="215" t="s">
        <v>211</v>
      </c>
      <c r="C35" s="1268">
        <v>0.12</v>
      </c>
      <c r="D35" s="249">
        <f t="shared" ref="D35:D38" si="3">F35*(1-E35)</f>
        <v>180</v>
      </c>
      <c r="E35" s="1268">
        <v>0.5</v>
      </c>
      <c r="F35" s="250">
        <f>$J$4*1.2</f>
        <v>360</v>
      </c>
      <c r="G35" s="217">
        <f>(C35*'MK Bases Model (Base Case)'!$F$16)*D35</f>
        <v>1541896.0513650847</v>
      </c>
      <c r="H35" s="6"/>
      <c r="I35" s="3"/>
      <c r="J35" s="3"/>
      <c r="K35" s="3"/>
      <c r="L35" s="3"/>
      <c r="M35" s="3"/>
      <c r="N35" s="3"/>
      <c r="O35" s="3"/>
      <c r="P35" s="3"/>
      <c r="Q35" s="3"/>
      <c r="R35" s="3"/>
      <c r="S35" s="3"/>
      <c r="T35" s="3"/>
      <c r="U35" s="3"/>
      <c r="V35" s="3"/>
      <c r="W35" s="3"/>
      <c r="X35" s="3"/>
      <c r="Y35" s="3"/>
      <c r="Z35" s="3"/>
      <c r="AA35" s="3"/>
    </row>
    <row r="36" spans="1:27" ht="20" customHeight="1">
      <c r="A36" s="14"/>
      <c r="B36" s="243" t="s">
        <v>212</v>
      </c>
      <c r="C36" s="1278">
        <v>0.36</v>
      </c>
      <c r="D36" s="250">
        <f t="shared" si="3"/>
        <v>167.04000000000002</v>
      </c>
      <c r="E36" s="1278">
        <v>0.4</v>
      </c>
      <c r="F36" s="250">
        <f>$J$4*$J$6</f>
        <v>278.40000000000003</v>
      </c>
      <c r="G36" s="217">
        <f>(C36*'MK Bases Model (Base Case)'!$F$16)*D36</f>
        <v>4292638.6070003957</v>
      </c>
      <c r="H36" s="6"/>
      <c r="I36" s="3"/>
      <c r="J36" s="3"/>
      <c r="K36" s="3"/>
      <c r="L36" s="3"/>
      <c r="M36" s="3"/>
      <c r="N36" s="3"/>
      <c r="O36" s="3"/>
      <c r="P36" s="3"/>
      <c r="Q36" s="3"/>
      <c r="R36" s="3"/>
      <c r="S36" s="3"/>
      <c r="T36" s="3"/>
      <c r="U36" s="3"/>
      <c r="V36" s="3"/>
      <c r="W36" s="3"/>
      <c r="X36" s="3"/>
      <c r="Y36" s="3"/>
      <c r="Z36" s="3"/>
      <c r="AA36" s="3"/>
    </row>
    <row r="37" spans="1:27" ht="20" customHeight="1">
      <c r="A37" s="14"/>
      <c r="B37" s="243" t="s">
        <v>218</v>
      </c>
      <c r="C37" s="1278">
        <v>0.22</v>
      </c>
      <c r="D37" s="250">
        <f t="shared" si="3"/>
        <v>153.12000000000003</v>
      </c>
      <c r="E37" s="1278">
        <v>0.45</v>
      </c>
      <c r="F37" s="250">
        <f>$J$7*$J$4</f>
        <v>278.40000000000003</v>
      </c>
      <c r="G37" s="217">
        <f>(C37*'MK Bases Model (Base Case)'!$F$16)*D37</f>
        <v>2404672.5529955924</v>
      </c>
      <c r="H37" s="6"/>
      <c r="I37" s="3"/>
      <c r="J37" s="3"/>
      <c r="K37" s="3"/>
      <c r="L37" s="3"/>
      <c r="M37" s="3"/>
      <c r="N37" s="3"/>
      <c r="O37" s="3"/>
      <c r="P37" s="3"/>
      <c r="Q37" s="3"/>
      <c r="R37" s="3"/>
      <c r="S37" s="3"/>
      <c r="T37" s="3"/>
      <c r="U37" s="3"/>
      <c r="V37" s="3"/>
      <c r="W37" s="3"/>
      <c r="X37" s="3"/>
      <c r="Y37" s="3"/>
      <c r="Z37" s="3"/>
      <c r="AA37" s="3"/>
    </row>
    <row r="38" spans="1:27" ht="20" customHeight="1">
      <c r="A38" s="14"/>
      <c r="B38" s="220" t="s">
        <v>220</v>
      </c>
      <c r="C38" s="1277">
        <v>0.3</v>
      </c>
      <c r="D38" s="251">
        <f t="shared" si="3"/>
        <v>129.06</v>
      </c>
      <c r="E38" s="1277">
        <v>0.4</v>
      </c>
      <c r="F38" s="251">
        <f>$J$4*$J$8</f>
        <v>215.1</v>
      </c>
      <c r="G38" s="252">
        <f>(C38*'MK Bases Model (Base Case)'!$F$16)*D38</f>
        <v>2763848.6720719142</v>
      </c>
      <c r="H38" s="6"/>
      <c r="I38" s="3"/>
      <c r="J38" s="3"/>
      <c r="K38" s="3"/>
      <c r="L38" s="3"/>
      <c r="M38" s="3"/>
      <c r="N38" s="3"/>
      <c r="O38" s="3"/>
      <c r="P38" s="3"/>
      <c r="Q38" s="3"/>
      <c r="R38" s="3"/>
      <c r="S38" s="3"/>
      <c r="T38" s="3"/>
      <c r="U38" s="3"/>
      <c r="V38" s="3"/>
      <c r="W38" s="3"/>
      <c r="X38" s="3"/>
      <c r="Y38" s="3"/>
      <c r="Z38" s="3"/>
      <c r="AA38" s="3"/>
    </row>
    <row r="39" spans="1:27" ht="20" customHeight="1">
      <c r="A39" s="8"/>
      <c r="B39" s="225" t="s">
        <v>213</v>
      </c>
      <c r="C39" s="226">
        <f>SUM(C35:C38)</f>
        <v>1</v>
      </c>
      <c r="D39" s="227">
        <f>((C35*D35)+(C36*D36)+(C37*D37)+(C38*D38))*H6</f>
        <v>154.1388</v>
      </c>
      <c r="E39" s="228"/>
      <c r="F39" s="228"/>
      <c r="G39" s="217">
        <f>SUM(G35:G38)</f>
        <v>11003055.883432988</v>
      </c>
      <c r="H39" s="239"/>
      <c r="I39" s="3"/>
      <c r="J39" s="3"/>
      <c r="K39" s="3"/>
      <c r="L39" s="3"/>
      <c r="M39" s="3"/>
      <c r="N39" s="3"/>
      <c r="O39" s="3"/>
      <c r="P39" s="3"/>
      <c r="Q39" s="3"/>
      <c r="R39" s="3"/>
      <c r="S39" s="3"/>
      <c r="T39" s="3"/>
      <c r="U39" s="3"/>
      <c r="V39" s="3"/>
      <c r="W39" s="3"/>
      <c r="X39" s="3"/>
      <c r="Y39" s="3"/>
      <c r="Z39" s="3"/>
      <c r="AA39" s="3"/>
    </row>
    <row r="40" spans="1:27" ht="20" customHeight="1">
      <c r="A40" s="8"/>
      <c r="B40" s="232" t="s">
        <v>214</v>
      </c>
      <c r="C40" s="233"/>
      <c r="D40" s="233"/>
      <c r="E40" s="233"/>
      <c r="F40" s="234">
        <f>((C35*F35)+(C36*F36)+(C37*F37)+(C38*F38))*H7</f>
        <v>269.202</v>
      </c>
      <c r="G40" s="235"/>
      <c r="H40" s="239"/>
      <c r="I40" s="3"/>
      <c r="J40" s="3"/>
      <c r="K40" s="3"/>
      <c r="L40" s="3"/>
      <c r="M40" s="3"/>
      <c r="N40" s="3"/>
      <c r="O40" s="3"/>
      <c r="P40" s="3"/>
      <c r="Q40" s="3"/>
      <c r="R40" s="3"/>
      <c r="S40" s="3"/>
      <c r="T40" s="3"/>
      <c r="U40" s="3"/>
      <c r="V40" s="3"/>
      <c r="W40" s="3"/>
      <c r="X40" s="3"/>
      <c r="Y40" s="3"/>
      <c r="Z40" s="3"/>
      <c r="AA40" s="3"/>
    </row>
    <row r="41" spans="1:27" ht="16">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ht="16">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6">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ht="16">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ht="16">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ht="1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ht="16">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t="16">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6">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ht="16">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ht="16">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ht="16">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6">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ht="16">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ht="16">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ht="1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ht="16">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ht="16">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6">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ht="16">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ht="16">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ht="16">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t="16">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6">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6">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6">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6">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6">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6">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6">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6">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6">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6">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6">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6">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6">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6">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6">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6">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6">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6">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6">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6">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6">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6">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6">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6">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6">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6">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6">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6">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6">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6">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6">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6">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6">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6">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6">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6">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6">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6">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6">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6">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6">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6">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6">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6">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6">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6">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6">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6">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6">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6">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6">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6">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6">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6">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6">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6">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6">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6">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6">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6">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6">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6">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6">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6">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6">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6">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6">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6">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6">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6">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6">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6">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6">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6">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6">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6">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6">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6">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6">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6">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6">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6">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6">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6">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6">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6">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6">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6">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6">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6">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6">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6">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6">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6">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6">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6">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6">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6">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6">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6">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6">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6">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6">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6">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6">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6">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6">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6">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6">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6">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6">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6">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6">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6">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6">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6">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6">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6">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6">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6">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6">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6">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6">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6">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6">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6">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6">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6">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6">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6">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6">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6">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6">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6">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6">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6">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6">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6">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6">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6">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6">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6">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6">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6">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6">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6">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6">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6">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6">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6">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6">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6">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6">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6">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6">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6">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6">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6">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6">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6">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6">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6">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6">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6">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6">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6">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6">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6">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6">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6">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6">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6">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6">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6">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6">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6">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6">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6">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6">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6">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6">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6">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6">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6">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6">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6">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6">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6">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6">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6">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6">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6">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6">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6">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6">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6">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6">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6">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6">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6">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6">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6">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6">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6">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6">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6">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6">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6">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6">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6">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6">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6">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6">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6">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6">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6">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6">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6">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6">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6">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6">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6">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6">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6">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6">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6">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6">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6">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6">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6">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6">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6">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6">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6">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6">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6">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6">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6">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6">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6">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6">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6">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6">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6">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6">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6">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6">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6">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6">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6">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6">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6">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6">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6">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6">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6">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6">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6">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6">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6">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6">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6">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6">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6">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6">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6">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6">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6">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6">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6">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6">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6">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6">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6">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6">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6">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6">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6">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6">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6">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6">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6">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6">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6">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6">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6">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6">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6">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6">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6">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6">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6">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6">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6">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6">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6">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6">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6">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6">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6">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6">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6">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6">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6">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6">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6">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6">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6">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6">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6">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6">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6">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6">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6">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6">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6">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6">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6">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6">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6">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6">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6">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6">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6">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6">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6">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6">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6">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6">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6">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6">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6">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6">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6">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6">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6">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6">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6">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6">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6">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6">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6">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6">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6">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6">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6">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6">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6">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6">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6">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6">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6">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6">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6">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6">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6">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6">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6">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6">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6">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6">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6">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6">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6">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6">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6">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6">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6">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6">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6">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6">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6">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6">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6">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6">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6">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6">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6">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6">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6">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6">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6">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6">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6">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6">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6">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6">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6">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6">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6">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6">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6">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6">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6">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6">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6">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6">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6">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6">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6">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6">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6">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6">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6">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6">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6">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6">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6">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6">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6">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6">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6">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6">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6">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6">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6">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6">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6">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6">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6">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6">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6">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6">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6">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6">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6">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6">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6">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6">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6">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6">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6">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6">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6">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6">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mergeCells count="1">
    <mergeCell ref="I3:J3"/>
  </mergeCells>
  <hyperlinks>
    <hyperlink ref="A1" location="Index!A1" display="Index" xr:uid="{77FEE533-6548-4C0E-B516-868A449F1C4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9B659-06FE-FB4B-A48D-32D262D9D35A}">
  <sheetPr>
    <tabColor rgb="FFFF0000"/>
  </sheetPr>
  <dimension ref="A1:F38"/>
  <sheetViews>
    <sheetView topLeftCell="A15" zoomScale="112" workbookViewId="0">
      <selection activeCell="D27" sqref="D27"/>
    </sheetView>
  </sheetViews>
  <sheetFormatPr baseColWidth="10" defaultColWidth="8.83203125" defaultRowHeight="14"/>
  <cols>
    <col min="1" max="1" width="27.33203125" style="905" customWidth="1"/>
    <col min="2" max="2" width="22.83203125" style="905" customWidth="1"/>
    <col min="3" max="3" width="21" style="905" customWidth="1"/>
    <col min="4" max="4" width="18" style="905" customWidth="1"/>
    <col min="5" max="5" width="17.1640625" style="905" customWidth="1"/>
    <col min="6" max="6" width="18.5" style="905" customWidth="1"/>
    <col min="7" max="16384" width="8.83203125" style="905"/>
  </cols>
  <sheetData>
    <row r="1" spans="1:6" ht="26">
      <c r="A1" s="902" t="s">
        <v>0</v>
      </c>
      <c r="B1" s="1554" t="s">
        <v>975</v>
      </c>
    </row>
    <row r="2" spans="1:6" ht="15" thickBot="1">
      <c r="B2" s="906"/>
      <c r="C2" s="906"/>
      <c r="D2" s="906"/>
      <c r="E2" s="906"/>
      <c r="F2" s="906"/>
    </row>
    <row r="3" spans="1:6" ht="17" thickBot="1">
      <c r="A3" s="2000" t="s">
        <v>5</v>
      </c>
      <c r="B3" s="2001"/>
      <c r="C3" s="1176"/>
    </row>
    <row r="4" spans="1:6" ht="17">
      <c r="A4" s="1177" t="s">
        <v>85</v>
      </c>
      <c r="B4" s="1295">
        <f>'MK Bases Model (Base Case)'!B8</f>
        <v>0.14000000000000001</v>
      </c>
      <c r="C4" s="1176"/>
    </row>
    <row r="5" spans="1:6" ht="17">
      <c r="A5" s="1177" t="s">
        <v>86</v>
      </c>
      <c r="B5" s="1296">
        <f>'MK Bases Model (Base Case)'!C8</f>
        <v>0.17</v>
      </c>
      <c r="C5" s="1176"/>
    </row>
    <row r="6" spans="1:6" ht="17">
      <c r="A6" s="1177" t="s">
        <v>87</v>
      </c>
      <c r="B6" s="1296">
        <f>'MK Bases Model (Base Case)'!D8</f>
        <v>0.22</v>
      </c>
      <c r="C6" s="1176"/>
    </row>
    <row r="7" spans="1:6" ht="17">
      <c r="A7" s="1177" t="s">
        <v>88</v>
      </c>
      <c r="B7" s="1296">
        <f>'MK Bases Model (Base Case)'!E8</f>
        <v>0.27</v>
      </c>
      <c r="C7" s="1176"/>
    </row>
    <row r="8" spans="1:6" ht="18" thickBot="1">
      <c r="A8" s="1178" t="s">
        <v>89</v>
      </c>
      <c r="B8" s="1297">
        <f>'MK Bases Model (Base Case)'!F8</f>
        <v>0.33</v>
      </c>
      <c r="C8" s="1176"/>
    </row>
    <row r="9" spans="1:6" ht="16">
      <c r="A9" s="1176"/>
      <c r="B9" s="1176"/>
      <c r="C9" s="1176"/>
    </row>
    <row r="10" spans="1:6" ht="17" thickBot="1">
      <c r="A10" s="1176"/>
      <c r="B10" s="1176"/>
      <c r="C10" s="1176"/>
    </row>
    <row r="11" spans="1:6" ht="30.75" customHeight="1" thickBot="1">
      <c r="A11" s="2000" t="s">
        <v>888</v>
      </c>
      <c r="B11" s="2002"/>
      <c r="C11" s="2001"/>
    </row>
    <row r="12" spans="1:6" ht="35" thickBot="1">
      <c r="A12" s="1285" t="s">
        <v>889</v>
      </c>
      <c r="B12" s="1286" t="s">
        <v>890</v>
      </c>
      <c r="C12" s="1286" t="s">
        <v>891</v>
      </c>
    </row>
    <row r="13" spans="1:6" ht="17">
      <c r="A13" s="1287" t="s">
        <v>756</v>
      </c>
      <c r="B13" s="1288">
        <v>0.25800000000000001</v>
      </c>
      <c r="C13" s="1298">
        <v>15.5</v>
      </c>
    </row>
    <row r="14" spans="1:6" ht="17">
      <c r="A14" s="1289" t="s">
        <v>892</v>
      </c>
      <c r="B14" s="1284">
        <v>0.20200000000000001</v>
      </c>
      <c r="C14" s="1299">
        <v>11.85</v>
      </c>
    </row>
    <row r="15" spans="1:6" ht="17">
      <c r="A15" s="1289" t="s">
        <v>204</v>
      </c>
      <c r="B15" s="1284">
        <v>0.2</v>
      </c>
      <c r="C15" s="1299">
        <v>11.76</v>
      </c>
    </row>
    <row r="16" spans="1:6" ht="17">
      <c r="A16" s="1289" t="s">
        <v>893</v>
      </c>
      <c r="B16" s="1284">
        <v>0.191</v>
      </c>
      <c r="C16" s="1299">
        <v>11.21</v>
      </c>
    </row>
    <row r="17" spans="1:3" ht="18" thickBot="1">
      <c r="A17" s="1290" t="s">
        <v>894</v>
      </c>
      <c r="B17" s="1291">
        <v>0.15</v>
      </c>
      <c r="C17" s="1300">
        <v>8.82</v>
      </c>
    </row>
    <row r="18" spans="1:3" ht="18" thickBot="1">
      <c r="A18" s="1292" t="s">
        <v>375</v>
      </c>
      <c r="B18" s="1293">
        <f>SUM(B13:B17)</f>
        <v>1.0009999999999999</v>
      </c>
      <c r="C18" s="1179">
        <f>SUM(C13:C17)</f>
        <v>59.14</v>
      </c>
    </row>
    <row r="19" spans="1:3" ht="17" thickBot="1">
      <c r="A19" s="1176"/>
      <c r="B19" s="1176"/>
      <c r="C19" s="1176"/>
    </row>
    <row r="20" spans="1:3" ht="21" customHeight="1" thickBot="1">
      <c r="A20" s="2003" t="s">
        <v>895</v>
      </c>
      <c r="B20" s="2004"/>
      <c r="C20" s="1176"/>
    </row>
    <row r="21" spans="1:3" ht="35" thickBot="1">
      <c r="A21" s="1294" t="s">
        <v>756</v>
      </c>
      <c r="B21" s="1294" t="s">
        <v>896</v>
      </c>
      <c r="C21" s="1176"/>
    </row>
    <row r="22" spans="1:3" ht="18" thickBot="1">
      <c r="A22" s="1178" t="s">
        <v>202</v>
      </c>
      <c r="B22" s="1283">
        <v>386.1</v>
      </c>
      <c r="C22" s="1176"/>
    </row>
    <row r="23" spans="1:3" ht="17" thickBot="1">
      <c r="A23" s="1176"/>
      <c r="B23" s="1176"/>
      <c r="C23" s="1176"/>
    </row>
    <row r="24" spans="1:3" ht="35" thickBot="1">
      <c r="A24" s="1301" t="s">
        <v>767</v>
      </c>
      <c r="B24" s="1301" t="s">
        <v>896</v>
      </c>
      <c r="C24" s="1176"/>
    </row>
    <row r="25" spans="1:3" ht="17">
      <c r="A25" s="1302" t="s">
        <v>897</v>
      </c>
      <c r="B25" s="1303">
        <v>559</v>
      </c>
      <c r="C25" s="1176"/>
    </row>
    <row r="26" spans="1:3" ht="17">
      <c r="A26" s="1304" t="s">
        <v>898</v>
      </c>
      <c r="B26" s="1305">
        <v>93</v>
      </c>
      <c r="C26" s="1176"/>
    </row>
    <row r="27" spans="1:3" ht="18" thickBot="1">
      <c r="A27" s="1306" t="s">
        <v>899</v>
      </c>
      <c r="B27" s="1307">
        <v>17.3</v>
      </c>
      <c r="C27" s="1176"/>
    </row>
    <row r="28" spans="1:3" ht="17" thickBot="1">
      <c r="A28" s="1176"/>
      <c r="B28" s="1176"/>
      <c r="C28" s="1176"/>
    </row>
    <row r="29" spans="1:3" ht="35" thickBot="1">
      <c r="A29" s="1301" t="s">
        <v>763</v>
      </c>
      <c r="B29" s="1301" t="s">
        <v>896</v>
      </c>
      <c r="C29" s="1176"/>
    </row>
    <row r="30" spans="1:3" ht="17">
      <c r="A30" s="1302" t="s">
        <v>900</v>
      </c>
      <c r="B30" s="1308">
        <v>6.9</v>
      </c>
      <c r="C30" s="1176"/>
    </row>
    <row r="31" spans="1:3" ht="17">
      <c r="A31" s="1304" t="s">
        <v>901</v>
      </c>
      <c r="B31" s="1309">
        <v>6.5</v>
      </c>
      <c r="C31" s="1176"/>
    </row>
    <row r="32" spans="1:3" ht="18" thickBot="1">
      <c r="A32" s="1306" t="s">
        <v>902</v>
      </c>
      <c r="B32" s="1310">
        <v>3</v>
      </c>
      <c r="C32" s="1176"/>
    </row>
    <row r="33" spans="1:3" ht="17" thickBot="1">
      <c r="A33" s="1176"/>
      <c r="B33" s="1176"/>
      <c r="C33" s="1176"/>
    </row>
    <row r="34" spans="1:3" ht="17" thickBot="1">
      <c r="A34" s="2000" t="s">
        <v>903</v>
      </c>
      <c r="B34" s="2001"/>
      <c r="C34" s="1176"/>
    </row>
    <row r="35" spans="1:3" ht="16">
      <c r="A35" s="1180" t="s">
        <v>904</v>
      </c>
      <c r="B35" s="1181"/>
      <c r="C35" s="1176"/>
    </row>
    <row r="36" spans="1:3" ht="16">
      <c r="A36" s="1180" t="s">
        <v>905</v>
      </c>
      <c r="B36" s="1181"/>
      <c r="C36" s="1176"/>
    </row>
    <row r="37" spans="1:3" ht="16">
      <c r="A37" s="1180" t="s">
        <v>906</v>
      </c>
      <c r="B37" s="1181"/>
      <c r="C37" s="1176"/>
    </row>
    <row r="38" spans="1:3" ht="17" thickBot="1">
      <c r="A38" s="1182" t="s">
        <v>907</v>
      </c>
      <c r="B38" s="1183"/>
      <c r="C38" s="1176"/>
    </row>
  </sheetData>
  <mergeCells count="4">
    <mergeCell ref="A3:B3"/>
    <mergeCell ref="A11:C11"/>
    <mergeCell ref="A20:B20"/>
    <mergeCell ref="A34:B34"/>
  </mergeCells>
  <hyperlinks>
    <hyperlink ref="A1" location="Index!A1" display="Index" xr:uid="{925D9358-95D4-394F-A901-F1D6E616885A}"/>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0000"/>
    <outlinePr summaryBelow="0" summaryRight="0"/>
  </sheetPr>
  <dimension ref="A1:AC1034"/>
  <sheetViews>
    <sheetView topLeftCell="A186" zoomScale="75" workbookViewId="0">
      <selection activeCell="T107" sqref="T107"/>
    </sheetView>
  </sheetViews>
  <sheetFormatPr baseColWidth="10" defaultColWidth="14.33203125" defaultRowHeight="15.75" customHeight="1"/>
  <cols>
    <col min="1" max="1" width="56.33203125" customWidth="1"/>
    <col min="2" max="13" width="11" customWidth="1"/>
    <col min="16" max="17" width="14.33203125" hidden="1"/>
    <col min="18" max="18" width="14.33203125" customWidth="1"/>
    <col min="19" max="19" width="34.6640625" customWidth="1"/>
    <col min="20" max="20" width="62.6640625" customWidth="1"/>
    <col min="21" max="21" width="76.1640625" customWidth="1"/>
    <col min="22" max="22" width="12.83203125" customWidth="1"/>
    <col min="24" max="24" width="30.5" customWidth="1"/>
    <col min="28" max="28" width="19.83203125" customWidth="1"/>
  </cols>
  <sheetData>
    <row r="1" spans="1:29" ht="25" customHeight="1">
      <c r="A1" s="902" t="s">
        <v>0</v>
      </c>
      <c r="B1" s="312" t="s">
        <v>976</v>
      </c>
      <c r="C1" s="1548"/>
      <c r="D1" s="1548"/>
      <c r="E1" s="1548"/>
      <c r="F1" s="1548"/>
      <c r="G1" s="1548"/>
      <c r="H1" s="1548"/>
      <c r="I1" s="1548"/>
      <c r="J1" s="1548"/>
      <c r="K1" s="1548"/>
      <c r="L1" s="1548"/>
      <c r="M1" s="1548"/>
      <c r="N1" s="1548"/>
      <c r="O1" s="1548"/>
      <c r="P1" s="1548"/>
      <c r="Q1" s="1548"/>
      <c r="R1" s="1548"/>
      <c r="S1" s="1548"/>
    </row>
    <row r="2" spans="1:29" ht="15.75" customHeight="1" thickBot="1">
      <c r="A2" s="903"/>
      <c r="B2" s="903"/>
      <c r="U2" s="3"/>
      <c r="V2" s="3"/>
      <c r="W2" s="3"/>
    </row>
    <row r="3" spans="1:29" ht="54" customHeight="1">
      <c r="A3" s="1184" t="s">
        <v>237</v>
      </c>
      <c r="B3" s="1185" t="s">
        <v>238</v>
      </c>
      <c r="C3" s="1185" t="s">
        <v>239</v>
      </c>
      <c r="D3" s="1185" t="s">
        <v>240</v>
      </c>
      <c r="E3" s="1185" t="s">
        <v>241</v>
      </c>
      <c r="F3" s="1185" t="s">
        <v>242</v>
      </c>
      <c r="G3" s="1185" t="s">
        <v>243</v>
      </c>
      <c r="H3" s="1185" t="s">
        <v>244</v>
      </c>
      <c r="I3" s="1185" t="s">
        <v>245</v>
      </c>
      <c r="J3" s="1185" t="s">
        <v>246</v>
      </c>
      <c r="K3" s="1185" t="s">
        <v>247</v>
      </c>
      <c r="L3" s="1185" t="s">
        <v>248</v>
      </c>
      <c r="M3" s="1185" t="s">
        <v>249</v>
      </c>
      <c r="N3" s="1185" t="s">
        <v>250</v>
      </c>
      <c r="O3" s="1185" t="s">
        <v>251</v>
      </c>
      <c r="P3" s="1186" t="s">
        <v>252</v>
      </c>
      <c r="Q3" s="1186" t="s">
        <v>253</v>
      </c>
      <c r="R3" s="1187" t="s">
        <v>254</v>
      </c>
      <c r="S3" s="3"/>
      <c r="T3" s="279" t="s">
        <v>281</v>
      </c>
      <c r="U3" s="280"/>
      <c r="V3" s="281" t="s">
        <v>282</v>
      </c>
      <c r="W3" s="209"/>
      <c r="X3" s="279" t="s">
        <v>283</v>
      </c>
      <c r="Y3" s="282" t="s">
        <v>284</v>
      </c>
      <c r="Z3" s="282" t="s">
        <v>285</v>
      </c>
      <c r="AA3" s="282" t="s">
        <v>286</v>
      </c>
      <c r="AB3" s="281" t="s">
        <v>287</v>
      </c>
      <c r="AC3" s="281" t="s">
        <v>288</v>
      </c>
    </row>
    <row r="4" spans="1:29" s="903" customFormat="1" ht="18" customHeight="1">
      <c r="A4" s="2008"/>
      <c r="B4" s="2006"/>
      <c r="C4" s="2006"/>
      <c r="D4" s="2006"/>
      <c r="E4" s="2006"/>
      <c r="F4" s="2006"/>
      <c r="G4" s="2006"/>
      <c r="H4" s="2006"/>
      <c r="I4" s="2006"/>
      <c r="J4" s="2006"/>
      <c r="K4" s="2006"/>
      <c r="L4" s="2006"/>
      <c r="M4" s="2006"/>
      <c r="N4" s="2006"/>
      <c r="O4" s="2006"/>
      <c r="P4" s="2006"/>
      <c r="Q4" s="2006"/>
      <c r="R4" s="2007"/>
      <c r="S4" s="904"/>
      <c r="T4" s="279"/>
      <c r="U4" s="280"/>
      <c r="V4" s="281"/>
      <c r="W4" s="209"/>
      <c r="X4" s="279"/>
      <c r="Y4" s="282"/>
      <c r="Z4" s="282"/>
      <c r="AA4" s="282"/>
      <c r="AB4" s="281"/>
      <c r="AC4" s="281"/>
    </row>
    <row r="5" spans="1:29" ht="15.75" customHeight="1">
      <c r="A5" s="993" t="s">
        <v>908</v>
      </c>
      <c r="B5" s="910"/>
      <c r="C5" s="910"/>
      <c r="D5" s="910"/>
      <c r="E5" s="910"/>
      <c r="F5" s="910"/>
      <c r="G5" s="910"/>
      <c r="H5" s="910"/>
      <c r="I5" s="910"/>
      <c r="J5" s="910"/>
      <c r="K5" s="910"/>
      <c r="L5" s="910"/>
      <c r="M5" s="910"/>
      <c r="N5" s="910"/>
      <c r="O5" s="910"/>
      <c r="P5" s="1188"/>
      <c r="Q5" s="1188"/>
      <c r="R5" s="1189"/>
      <c r="T5" s="283" t="s">
        <v>289</v>
      </c>
      <c r="U5" s="1555" t="s">
        <v>290</v>
      </c>
      <c r="V5" s="280"/>
      <c r="W5" s="3"/>
      <c r="X5" s="284" t="s">
        <v>291</v>
      </c>
      <c r="Y5" s="1557">
        <v>4000</v>
      </c>
      <c r="Z5" s="1557">
        <v>4000</v>
      </c>
      <c r="AA5" s="1557">
        <v>4000</v>
      </c>
      <c r="AB5" s="1557">
        <v>4000</v>
      </c>
      <c r="AC5" s="1557">
        <v>4000</v>
      </c>
    </row>
    <row r="6" spans="1:29" ht="15.75" customHeight="1">
      <c r="A6" s="993" t="s">
        <v>223</v>
      </c>
      <c r="B6" s="910"/>
      <c r="C6" s="910"/>
      <c r="D6" s="910"/>
      <c r="E6" s="910"/>
      <c r="F6" s="910"/>
      <c r="G6" s="910"/>
      <c r="H6" s="910"/>
      <c r="I6" s="910"/>
      <c r="J6" s="910"/>
      <c r="K6" s="910"/>
      <c r="L6" s="910"/>
      <c r="M6" s="910"/>
      <c r="N6" s="910"/>
      <c r="O6" s="910"/>
      <c r="P6" s="1188"/>
      <c r="Q6" s="1188"/>
      <c r="R6" s="1189"/>
      <c r="T6" s="283" t="s">
        <v>292</v>
      </c>
      <c r="U6" s="1555" t="s">
        <v>293</v>
      </c>
      <c r="V6" s="280"/>
      <c r="W6" s="3"/>
      <c r="X6" s="284" t="s">
        <v>294</v>
      </c>
      <c r="Y6" s="1557">
        <v>5000</v>
      </c>
      <c r="Z6" s="285"/>
      <c r="AA6" s="3"/>
      <c r="AB6" s="285"/>
      <c r="AC6" s="286"/>
    </row>
    <row r="7" spans="1:29" ht="15.75" customHeight="1">
      <c r="A7" s="1190" t="s">
        <v>224</v>
      </c>
      <c r="B7" s="910"/>
      <c r="C7" s="910"/>
      <c r="D7" s="910"/>
      <c r="E7" s="910"/>
      <c r="F7" s="910"/>
      <c r="G7" s="910"/>
      <c r="H7" s="910"/>
      <c r="I7" s="910"/>
      <c r="J7" s="910"/>
      <c r="K7" s="910"/>
      <c r="L7" s="910"/>
      <c r="M7" s="910"/>
      <c r="N7" s="1311"/>
      <c r="O7" s="915"/>
      <c r="P7" s="1312"/>
      <c r="Q7" s="1312"/>
      <c r="R7" s="1313"/>
      <c r="T7" s="283" t="s">
        <v>295</v>
      </c>
      <c r="U7" s="1556">
        <v>1600</v>
      </c>
      <c r="V7" s="280"/>
      <c r="W7" s="3"/>
      <c r="X7" s="284" t="s">
        <v>296</v>
      </c>
      <c r="Y7" s="1557">
        <v>4000</v>
      </c>
      <c r="Z7" s="1557">
        <v>4000</v>
      </c>
      <c r="AA7" s="1557">
        <v>4000</v>
      </c>
      <c r="AB7" s="1557">
        <v>4000</v>
      </c>
      <c r="AC7" s="1557">
        <v>4000</v>
      </c>
    </row>
    <row r="8" spans="1:29" ht="15.75" customHeight="1">
      <c r="A8" s="1191" t="s">
        <v>225</v>
      </c>
      <c r="B8" s="910"/>
      <c r="C8" s="910"/>
      <c r="D8" s="910"/>
      <c r="E8" s="910"/>
      <c r="F8" s="910"/>
      <c r="G8" s="910"/>
      <c r="H8" s="910"/>
      <c r="I8" s="910"/>
      <c r="J8" s="910"/>
      <c r="K8" s="910"/>
      <c r="L8" s="910"/>
      <c r="M8" s="910"/>
      <c r="N8" s="1311" t="s">
        <v>255</v>
      </c>
      <c r="O8" s="915"/>
      <c r="P8" s="1312"/>
      <c r="Q8" s="1312"/>
      <c r="R8" s="1313"/>
      <c r="T8" s="283" t="s">
        <v>297</v>
      </c>
      <c r="U8" s="1556">
        <v>1000</v>
      </c>
      <c r="V8" s="280"/>
      <c r="W8" s="3"/>
      <c r="X8" s="282" t="s">
        <v>298</v>
      </c>
      <c r="Y8" s="287"/>
      <c r="Z8" s="285"/>
      <c r="AA8" s="288"/>
      <c r="AB8" s="285"/>
      <c r="AC8" s="288">
        <f>SUM(Y5:AC7)</f>
        <v>45000</v>
      </c>
    </row>
    <row r="9" spans="1:29" ht="15.75" customHeight="1">
      <c r="A9" s="1192" t="s">
        <v>226</v>
      </c>
      <c r="B9" s="910"/>
      <c r="C9" s="910"/>
      <c r="D9" s="910"/>
      <c r="E9" s="910"/>
      <c r="F9" s="910"/>
      <c r="G9" s="910"/>
      <c r="H9" s="910"/>
      <c r="I9" s="910"/>
      <c r="J9" s="910"/>
      <c r="K9" s="910"/>
      <c r="L9" s="910"/>
      <c r="M9" s="910"/>
      <c r="N9" s="920">
        <v>42960</v>
      </c>
      <c r="O9" s="915"/>
      <c r="P9" s="921">
        <f>0.5437*R9</f>
        <v>1.4014411199999997E-2</v>
      </c>
      <c r="Q9" s="921">
        <f>R9-P9</f>
        <v>1.17615888E-2</v>
      </c>
      <c r="R9" s="1229">
        <f>(N9*0.0006)/1000</f>
        <v>2.5775999999999997E-2</v>
      </c>
      <c r="T9" s="283" t="s">
        <v>299</v>
      </c>
      <c r="U9" s="1556">
        <v>300</v>
      </c>
      <c r="V9" s="280"/>
      <c r="W9" s="3"/>
      <c r="X9" s="3"/>
      <c r="Y9" s="3"/>
      <c r="Z9" s="3"/>
      <c r="AA9" s="3"/>
      <c r="AB9" s="3"/>
      <c r="AC9" s="3"/>
    </row>
    <row r="10" spans="1:29" ht="15.75" customHeight="1">
      <c r="A10" s="1194" t="s">
        <v>256</v>
      </c>
      <c r="B10" s="910"/>
      <c r="C10" s="910"/>
      <c r="D10" s="910"/>
      <c r="E10" s="910"/>
      <c r="F10" s="1195"/>
      <c r="G10" s="910"/>
      <c r="H10" s="910"/>
      <c r="I10" s="910"/>
      <c r="J10" s="910"/>
      <c r="K10" s="910"/>
      <c r="L10" s="910"/>
      <c r="M10" s="1195"/>
      <c r="N10" s="916"/>
      <c r="O10" s="915"/>
      <c r="P10" s="1312"/>
      <c r="Q10" s="1312"/>
      <c r="R10" s="1314"/>
      <c r="T10" s="283" t="s">
        <v>300</v>
      </c>
      <c r="U10" s="1556">
        <v>300</v>
      </c>
      <c r="V10" s="280"/>
      <c r="W10" s="3"/>
      <c r="X10" s="3"/>
      <c r="Y10" s="3"/>
      <c r="Z10" s="3"/>
      <c r="AA10" s="3"/>
      <c r="AB10" s="3"/>
      <c r="AC10" s="3"/>
    </row>
    <row r="11" spans="1:29" ht="15.75" customHeight="1">
      <c r="A11" s="1194" t="s">
        <v>257</v>
      </c>
      <c r="B11" s="910"/>
      <c r="C11" s="1195"/>
      <c r="D11" s="910"/>
      <c r="E11" s="910"/>
      <c r="F11" s="910"/>
      <c r="G11" s="910"/>
      <c r="H11" s="910"/>
      <c r="I11" s="910"/>
      <c r="J11" s="910"/>
      <c r="K11" s="910"/>
      <c r="L11" s="1195"/>
      <c r="M11" s="910"/>
      <c r="N11" s="916"/>
      <c r="O11" s="915"/>
      <c r="P11" s="1315"/>
      <c r="Q11" s="1315"/>
      <c r="R11" s="1314"/>
      <c r="T11" s="289" t="s">
        <v>301</v>
      </c>
      <c r="U11" s="290">
        <f>1010+1160+SUM(U7:U10)</f>
        <v>5370</v>
      </c>
      <c r="V11" s="280"/>
      <c r="W11" s="3"/>
      <c r="X11" s="3"/>
      <c r="Y11" s="3"/>
      <c r="Z11" s="3"/>
      <c r="AA11" s="3"/>
      <c r="AB11" s="3"/>
      <c r="AC11" s="3"/>
    </row>
    <row r="12" spans="1:29" ht="15.75" customHeight="1">
      <c r="A12" s="1194" t="s">
        <v>258</v>
      </c>
      <c r="B12" s="910"/>
      <c r="C12" s="910"/>
      <c r="D12" s="910"/>
      <c r="E12" s="910"/>
      <c r="F12" s="910"/>
      <c r="G12" s="910"/>
      <c r="H12" s="910"/>
      <c r="I12" s="1195"/>
      <c r="J12" s="910"/>
      <c r="K12" s="910"/>
      <c r="L12" s="910"/>
      <c r="M12" s="910"/>
      <c r="N12" s="916"/>
      <c r="O12" s="915"/>
      <c r="P12" s="1315"/>
      <c r="Q12" s="1315"/>
      <c r="R12" s="1314"/>
      <c r="T12" s="289" t="s">
        <v>302</v>
      </c>
      <c r="U12" s="291">
        <f>U11*8</f>
        <v>42960</v>
      </c>
      <c r="V12" s="292">
        <f>(U12*0.0006)/1000</f>
        <v>2.5775999999999997E-2</v>
      </c>
      <c r="W12" s="274"/>
      <c r="X12" s="3"/>
      <c r="Y12" s="3"/>
      <c r="Z12" s="3"/>
      <c r="AA12" s="3"/>
      <c r="AB12" s="3"/>
      <c r="AC12" s="3"/>
    </row>
    <row r="13" spans="1:29" ht="15.75" customHeight="1">
      <c r="A13" s="1194" t="s">
        <v>259</v>
      </c>
      <c r="B13" s="910"/>
      <c r="C13" s="910"/>
      <c r="D13" s="910"/>
      <c r="E13" s="910"/>
      <c r="F13" s="910"/>
      <c r="G13" s="910"/>
      <c r="H13" s="910"/>
      <c r="I13" s="910"/>
      <c r="J13" s="1195"/>
      <c r="K13" s="910"/>
      <c r="L13" s="910"/>
      <c r="M13" s="910"/>
      <c r="N13" s="916"/>
      <c r="O13" s="915"/>
      <c r="P13" s="1315"/>
      <c r="Q13" s="1315"/>
      <c r="R13" s="1314"/>
    </row>
    <row r="14" spans="1:29" ht="15.75" customHeight="1">
      <c r="A14" s="1194" t="s">
        <v>260</v>
      </c>
      <c r="B14" s="910"/>
      <c r="C14" s="910"/>
      <c r="D14" s="1195"/>
      <c r="E14" s="910"/>
      <c r="F14" s="910"/>
      <c r="G14" s="910"/>
      <c r="H14" s="910"/>
      <c r="I14" s="910"/>
      <c r="J14" s="910"/>
      <c r="K14" s="910"/>
      <c r="L14" s="910"/>
      <c r="M14" s="910"/>
      <c r="N14" s="916"/>
      <c r="O14" s="915"/>
      <c r="P14" s="1315"/>
      <c r="Q14" s="1315"/>
      <c r="R14" s="1314"/>
    </row>
    <row r="15" spans="1:29" ht="15.75" customHeight="1">
      <c r="A15" s="1194" t="s">
        <v>261</v>
      </c>
      <c r="B15" s="910"/>
      <c r="C15" s="910"/>
      <c r="D15" s="910"/>
      <c r="E15" s="910"/>
      <c r="F15" s="1195"/>
      <c r="G15" s="910"/>
      <c r="H15" s="910"/>
      <c r="I15" s="910"/>
      <c r="J15" s="910"/>
      <c r="K15" s="910"/>
      <c r="L15" s="910"/>
      <c r="M15" s="910"/>
      <c r="N15" s="916"/>
      <c r="O15" s="915"/>
      <c r="P15" s="1315"/>
      <c r="Q15" s="1315"/>
      <c r="R15" s="1314"/>
    </row>
    <row r="16" spans="1:29" ht="15.75" customHeight="1">
      <c r="A16" s="1194" t="s">
        <v>262</v>
      </c>
      <c r="B16" s="910"/>
      <c r="C16" s="910"/>
      <c r="D16" s="910"/>
      <c r="E16" s="910"/>
      <c r="F16" s="910"/>
      <c r="G16" s="910"/>
      <c r="H16" s="1195"/>
      <c r="I16" s="910"/>
      <c r="J16" s="910"/>
      <c r="K16" s="910"/>
      <c r="L16" s="910"/>
      <c r="M16" s="910"/>
      <c r="N16" s="916"/>
      <c r="O16" s="915"/>
      <c r="P16" s="1315"/>
      <c r="Q16" s="1315"/>
      <c r="R16" s="1314"/>
    </row>
    <row r="17" spans="1:18" ht="15.75" customHeight="1">
      <c r="A17" s="1194" t="s">
        <v>263</v>
      </c>
      <c r="B17" s="910"/>
      <c r="C17" s="910"/>
      <c r="D17" s="910"/>
      <c r="E17" s="910"/>
      <c r="F17" s="910"/>
      <c r="G17" s="910"/>
      <c r="H17" s="910"/>
      <c r="I17" s="910"/>
      <c r="J17" s="910"/>
      <c r="K17" s="1195"/>
      <c r="L17" s="910"/>
      <c r="M17" s="910"/>
      <c r="N17" s="916"/>
      <c r="O17" s="915"/>
      <c r="P17" s="1315"/>
      <c r="Q17" s="1315"/>
      <c r="R17" s="1314"/>
    </row>
    <row r="18" spans="1:18" ht="15.75" customHeight="1">
      <c r="A18" s="1192" t="s">
        <v>227</v>
      </c>
      <c r="B18" s="911"/>
      <c r="C18" s="911"/>
      <c r="D18" s="911"/>
      <c r="E18" s="911"/>
      <c r="F18" s="911"/>
      <c r="G18" s="911"/>
      <c r="H18" s="911"/>
      <c r="I18" s="911"/>
      <c r="J18" s="911"/>
      <c r="K18" s="911"/>
      <c r="L18" s="911"/>
      <c r="M18" s="911"/>
      <c r="N18" s="916">
        <v>10875</v>
      </c>
      <c r="O18" s="915"/>
      <c r="P18" s="921">
        <v>0.02</v>
      </c>
      <c r="Q18" s="921">
        <v>0.02</v>
      </c>
      <c r="R18" s="1229">
        <v>0.02</v>
      </c>
    </row>
    <row r="19" spans="1:18" ht="15.75" customHeight="1">
      <c r="A19" s="1198" t="s">
        <v>264</v>
      </c>
      <c r="B19" s="910"/>
      <c r="C19" s="910"/>
      <c r="D19" s="910"/>
      <c r="E19" s="910"/>
      <c r="F19" s="910"/>
      <c r="G19" s="910"/>
      <c r="H19" s="910"/>
      <c r="I19" s="910"/>
      <c r="J19" s="910"/>
      <c r="K19" s="910"/>
      <c r="L19" s="910"/>
      <c r="M19" s="910"/>
      <c r="N19" s="916">
        <v>5051</v>
      </c>
      <c r="O19" s="915"/>
      <c r="P19" s="1312"/>
      <c r="Q19" s="1312"/>
      <c r="R19" s="1314"/>
    </row>
    <row r="20" spans="1:18" ht="16">
      <c r="A20" s="1190" t="s">
        <v>229</v>
      </c>
      <c r="B20" s="910"/>
      <c r="C20" s="910"/>
      <c r="D20" s="910"/>
      <c r="E20" s="910"/>
      <c r="F20" s="910"/>
      <c r="G20" s="910"/>
      <c r="H20" s="910"/>
      <c r="I20" s="910"/>
      <c r="J20" s="910"/>
      <c r="K20" s="910"/>
      <c r="L20" s="910"/>
      <c r="M20" s="910"/>
      <c r="N20" s="916"/>
      <c r="O20" s="915"/>
      <c r="P20" s="921"/>
      <c r="Q20" s="921"/>
      <c r="R20" s="1229"/>
    </row>
    <row r="21" spans="1:18" ht="17">
      <c r="A21" s="1198" t="s">
        <v>230</v>
      </c>
      <c r="B21" s="910"/>
      <c r="C21" s="910"/>
      <c r="D21" s="910"/>
      <c r="E21" s="910"/>
      <c r="F21" s="910"/>
      <c r="G21" s="910"/>
      <c r="H21" s="910"/>
      <c r="I21" s="910"/>
      <c r="J21" s="910"/>
      <c r="K21" s="910"/>
      <c r="L21" s="910"/>
      <c r="M21" s="910"/>
      <c r="N21" s="916">
        <v>20000</v>
      </c>
      <c r="O21" s="915"/>
      <c r="P21" s="921">
        <v>0.01</v>
      </c>
      <c r="Q21" s="921">
        <v>0.01</v>
      </c>
      <c r="R21" s="1229">
        <f>Q21+P21</f>
        <v>0.02</v>
      </c>
    </row>
    <row r="22" spans="1:18" ht="34">
      <c r="A22" s="1194" t="s">
        <v>265</v>
      </c>
      <c r="B22" s="1199"/>
      <c r="C22" s="910"/>
      <c r="D22" s="1199"/>
      <c r="E22" s="910"/>
      <c r="F22" s="1200"/>
      <c r="G22" s="1199"/>
      <c r="H22" s="1199"/>
      <c r="I22" s="910"/>
      <c r="J22" s="1199"/>
      <c r="K22" s="910"/>
      <c r="L22" s="1199"/>
      <c r="M22" s="1199"/>
      <c r="N22" s="1316"/>
      <c r="O22" s="915"/>
      <c r="P22" s="1312"/>
      <c r="Q22" s="1312"/>
      <c r="R22" s="1314"/>
    </row>
    <row r="23" spans="1:18" ht="51">
      <c r="A23" s="1194" t="s">
        <v>266</v>
      </c>
      <c r="B23" s="910"/>
      <c r="C23" s="910"/>
      <c r="D23" s="910"/>
      <c r="E23" s="1199"/>
      <c r="F23" s="1199"/>
      <c r="G23" s="1199"/>
      <c r="H23" s="910"/>
      <c r="I23" s="910"/>
      <c r="J23" s="910"/>
      <c r="K23" s="1199"/>
      <c r="L23" s="1199"/>
      <c r="M23" s="1199"/>
      <c r="N23" s="1316"/>
      <c r="O23" s="915"/>
      <c r="P23" s="1312"/>
      <c r="Q23" s="1312"/>
      <c r="R23" s="1314"/>
    </row>
    <row r="24" spans="1:18" ht="16">
      <c r="A24" s="1190" t="s">
        <v>233</v>
      </c>
      <c r="B24" s="910"/>
      <c r="C24" s="910"/>
      <c r="D24" s="910"/>
      <c r="E24" s="910"/>
      <c r="F24" s="910"/>
      <c r="G24" s="910"/>
      <c r="H24" s="910"/>
      <c r="I24" s="910"/>
      <c r="J24" s="910"/>
      <c r="K24" s="910"/>
      <c r="L24" s="910"/>
      <c r="M24" s="910"/>
      <c r="N24" s="915"/>
      <c r="O24" s="915"/>
      <c r="P24" s="1312"/>
      <c r="Q24" s="1312"/>
      <c r="R24" s="1314"/>
    </row>
    <row r="25" spans="1:18" ht="16">
      <c r="A25" s="1192" t="s">
        <v>234</v>
      </c>
      <c r="B25" s="911"/>
      <c r="C25" s="911"/>
      <c r="D25" s="911"/>
      <c r="E25" s="911"/>
      <c r="F25" s="911"/>
      <c r="G25" s="911"/>
      <c r="H25" s="911"/>
      <c r="I25" s="911"/>
      <c r="J25" s="911"/>
      <c r="K25" s="911"/>
      <c r="L25" s="911"/>
      <c r="M25" s="911"/>
      <c r="N25" s="916">
        <f>0.25*45000</f>
        <v>11250</v>
      </c>
      <c r="O25" s="915"/>
      <c r="P25" s="921">
        <v>5.0000000000000001E-3</v>
      </c>
      <c r="Q25" s="921">
        <v>5.0000000000000001E-3</v>
      </c>
      <c r="R25" s="1229">
        <v>0.01</v>
      </c>
    </row>
    <row r="26" spans="1:18" s="903" customFormat="1" ht="16">
      <c r="A26" s="1192" t="s">
        <v>267</v>
      </c>
      <c r="B26" s="911"/>
      <c r="C26" s="911"/>
      <c r="D26" s="911"/>
      <c r="E26" s="911"/>
      <c r="F26" s="911"/>
      <c r="G26" s="911"/>
      <c r="H26" s="911"/>
      <c r="I26" s="911"/>
      <c r="J26" s="911"/>
      <c r="K26" s="911"/>
      <c r="L26" s="911"/>
      <c r="M26" s="911"/>
      <c r="N26" s="916">
        <v>10000</v>
      </c>
      <c r="O26" s="915"/>
      <c r="P26" s="921">
        <v>0</v>
      </c>
      <c r="Q26" s="921">
        <v>0</v>
      </c>
      <c r="R26" s="1317">
        <f>Q26+P26</f>
        <v>0</v>
      </c>
    </row>
    <row r="27" spans="1:18" s="903" customFormat="1" ht="16">
      <c r="A27" s="1190" t="s">
        <v>914</v>
      </c>
      <c r="B27" s="915"/>
      <c r="C27" s="915"/>
      <c r="D27" s="915"/>
      <c r="E27" s="915"/>
      <c r="F27" s="915"/>
      <c r="G27" s="915"/>
      <c r="H27" s="915"/>
      <c r="I27" s="915"/>
      <c r="J27" s="915"/>
      <c r="K27" s="915"/>
      <c r="L27" s="915"/>
      <c r="M27" s="915"/>
      <c r="N27" s="916"/>
      <c r="O27" s="915"/>
      <c r="P27" s="921"/>
      <c r="Q27" s="921"/>
      <c r="R27" s="1317"/>
    </row>
    <row r="28" spans="1:18" ht="16">
      <c r="A28" s="1202" t="s">
        <v>913</v>
      </c>
      <c r="B28" s="914"/>
      <c r="C28" s="914"/>
      <c r="D28" s="914"/>
      <c r="E28" s="914"/>
      <c r="F28" s="914"/>
      <c r="G28" s="914"/>
      <c r="H28" s="914"/>
      <c r="I28" s="914"/>
      <c r="J28" s="914"/>
      <c r="K28" s="914"/>
      <c r="L28" s="914"/>
      <c r="M28" s="914"/>
      <c r="N28" s="918">
        <f>1*'MK Bases Model (Base Case)'!B16</f>
        <v>12788.862937661439</v>
      </c>
      <c r="O28" s="914"/>
      <c r="P28" s="914"/>
      <c r="Q28" s="914"/>
      <c r="R28" s="1203"/>
    </row>
    <row r="29" spans="1:18" ht="16">
      <c r="A29" s="1190" t="s">
        <v>268</v>
      </c>
      <c r="B29" s="910"/>
      <c r="C29" s="910"/>
      <c r="D29" s="910"/>
      <c r="E29" s="910"/>
      <c r="F29" s="910"/>
      <c r="G29" s="910"/>
      <c r="H29" s="910"/>
      <c r="I29" s="910"/>
      <c r="J29" s="910"/>
      <c r="K29" s="910"/>
      <c r="L29" s="910"/>
      <c r="M29" s="910"/>
      <c r="N29" s="1318">
        <f>SUM(N9:N28)</f>
        <v>112924.86293766144</v>
      </c>
      <c r="O29" s="1319"/>
      <c r="P29" s="1320">
        <f>SUM(P9:P26)</f>
        <v>4.9014411199999997E-2</v>
      </c>
      <c r="Q29" s="1321">
        <f>SUM(Q9:Q26)</f>
        <v>4.6761588800000004E-2</v>
      </c>
      <c r="R29" s="1322">
        <f>SUM(R9:R26)</f>
        <v>7.5775999999999996E-2</v>
      </c>
    </row>
    <row r="30" spans="1:18" ht="16">
      <c r="A30" s="1208"/>
      <c r="B30" s="910"/>
      <c r="C30" s="910"/>
      <c r="D30" s="910"/>
      <c r="E30" s="910"/>
      <c r="F30" s="910"/>
      <c r="G30" s="910"/>
      <c r="H30" s="910"/>
      <c r="I30" s="910"/>
      <c r="J30" s="910"/>
      <c r="K30" s="910"/>
      <c r="L30" s="910"/>
      <c r="M30" s="910"/>
      <c r="N30" s="915"/>
      <c r="O30" s="915"/>
      <c r="P30" s="1312"/>
      <c r="Q30" s="1312"/>
      <c r="R30" s="1313"/>
    </row>
    <row r="31" spans="1:18" ht="16">
      <c r="A31" s="993" t="s">
        <v>269</v>
      </c>
      <c r="B31" s="910"/>
      <c r="C31" s="910"/>
      <c r="D31" s="910"/>
      <c r="E31" s="910"/>
      <c r="F31" s="910"/>
      <c r="G31" s="910"/>
      <c r="H31" s="910"/>
      <c r="I31" s="910"/>
      <c r="J31" s="910"/>
      <c r="K31" s="910"/>
      <c r="L31" s="910"/>
      <c r="M31" s="910"/>
      <c r="N31" s="915"/>
      <c r="O31" s="915"/>
      <c r="P31" s="1312"/>
      <c r="Q31" s="1312"/>
      <c r="R31" s="1313"/>
    </row>
    <row r="32" spans="1:18" ht="16">
      <c r="A32" s="1192" t="s">
        <v>270</v>
      </c>
      <c r="B32" s="910"/>
      <c r="C32" s="910"/>
      <c r="D32" s="910"/>
      <c r="E32" s="910"/>
      <c r="F32" s="910"/>
      <c r="G32" s="910"/>
      <c r="H32" s="910"/>
      <c r="I32" s="1196"/>
      <c r="J32" s="910"/>
      <c r="K32" s="910"/>
      <c r="L32" s="910"/>
      <c r="M32" s="910"/>
      <c r="N32" s="920">
        <v>45000</v>
      </c>
      <c r="O32" s="915"/>
      <c r="P32" s="1312"/>
      <c r="Q32" s="1312"/>
      <c r="R32" s="1313"/>
    </row>
    <row r="33" spans="1:29" ht="16">
      <c r="A33" s="1209" t="s">
        <v>271</v>
      </c>
      <c r="B33" s="910"/>
      <c r="C33" s="910"/>
      <c r="D33" s="1210"/>
      <c r="E33" s="910"/>
      <c r="F33" s="910"/>
      <c r="G33" s="910"/>
      <c r="H33" s="910"/>
      <c r="I33" s="910"/>
      <c r="J33" s="910"/>
      <c r="K33" s="910"/>
      <c r="L33" s="910"/>
      <c r="M33" s="910"/>
      <c r="N33" s="1323"/>
      <c r="O33" s="915"/>
      <c r="P33" s="1312"/>
      <c r="Q33" s="1312"/>
      <c r="R33" s="1313"/>
    </row>
    <row r="34" spans="1:29" ht="16">
      <c r="A34" s="1209" t="s">
        <v>272</v>
      </c>
      <c r="B34" s="910"/>
      <c r="C34" s="910"/>
      <c r="D34" s="910"/>
      <c r="E34" s="910"/>
      <c r="F34" s="910"/>
      <c r="G34" s="910"/>
      <c r="H34" s="910"/>
      <c r="I34" s="1210"/>
      <c r="J34" s="910"/>
      <c r="K34" s="910"/>
      <c r="L34" s="910"/>
      <c r="M34" s="910"/>
      <c r="N34" s="915"/>
      <c r="O34" s="915"/>
      <c r="P34" s="1312"/>
      <c r="Q34" s="1312"/>
      <c r="R34" s="1313"/>
    </row>
    <row r="35" spans="1:29" ht="16">
      <c r="A35" s="1209" t="s">
        <v>273</v>
      </c>
      <c r="B35" s="910"/>
      <c r="C35" s="910"/>
      <c r="D35" s="910"/>
      <c r="E35" s="910"/>
      <c r="F35" s="910"/>
      <c r="G35" s="910"/>
      <c r="H35" s="910"/>
      <c r="I35" s="910"/>
      <c r="J35" s="910"/>
      <c r="K35" s="1210"/>
      <c r="L35" s="910"/>
      <c r="M35" s="910"/>
      <c r="N35" s="915"/>
      <c r="O35" s="915"/>
      <c r="P35" s="1312"/>
      <c r="Q35" s="1312"/>
      <c r="R35" s="1313"/>
    </row>
    <row r="36" spans="1:29" ht="17">
      <c r="A36" s="1212" t="s">
        <v>274</v>
      </c>
      <c r="B36" s="910"/>
      <c r="C36" s="910"/>
      <c r="D36" s="910"/>
      <c r="E36" s="910"/>
      <c r="F36" s="910"/>
      <c r="G36" s="1213"/>
      <c r="H36" s="910"/>
      <c r="I36" s="910"/>
      <c r="J36" s="910"/>
      <c r="K36" s="910"/>
      <c r="L36" s="910"/>
      <c r="M36" s="910"/>
      <c r="N36" s="915"/>
      <c r="O36" s="915"/>
      <c r="P36" s="1312"/>
      <c r="Q36" s="1312"/>
      <c r="R36" s="1313"/>
    </row>
    <row r="37" spans="1:29" ht="16">
      <c r="A37" s="1209" t="s">
        <v>275</v>
      </c>
      <c r="B37" s="910"/>
      <c r="C37" s="910"/>
      <c r="D37" s="910"/>
      <c r="E37" s="910"/>
      <c r="F37" s="910"/>
      <c r="G37" s="910"/>
      <c r="H37" s="1210"/>
      <c r="I37" s="910"/>
      <c r="J37" s="910"/>
      <c r="K37" s="910"/>
      <c r="L37" s="910"/>
      <c r="M37" s="910"/>
      <c r="N37" s="915"/>
      <c r="O37" s="915"/>
      <c r="P37" s="1312"/>
      <c r="Q37" s="1312"/>
      <c r="R37" s="1313"/>
    </row>
    <row r="38" spans="1:29" ht="16">
      <c r="A38" s="1192" t="s">
        <v>276</v>
      </c>
      <c r="B38" s="910"/>
      <c r="C38" s="910"/>
      <c r="D38" s="910"/>
      <c r="E38" s="910"/>
      <c r="F38" s="910"/>
      <c r="G38" s="1214"/>
      <c r="H38" s="910"/>
      <c r="I38" s="910"/>
      <c r="J38" s="910"/>
      <c r="K38" s="910"/>
      <c r="L38" s="910"/>
      <c r="M38" s="910"/>
      <c r="N38" s="915"/>
      <c r="O38" s="915"/>
      <c r="P38" s="1312"/>
      <c r="Q38" s="1312"/>
      <c r="R38" s="1313"/>
    </row>
    <row r="39" spans="1:29" ht="16">
      <c r="A39" s="1209" t="s">
        <v>277</v>
      </c>
      <c r="B39" s="910"/>
      <c r="C39" s="1210"/>
      <c r="D39" s="910"/>
      <c r="E39" s="910"/>
      <c r="F39" s="910"/>
      <c r="G39" s="910"/>
      <c r="H39" s="1210"/>
      <c r="I39" s="910"/>
      <c r="J39" s="1210"/>
      <c r="K39" s="910"/>
      <c r="L39" s="910"/>
      <c r="M39" s="910"/>
      <c r="N39" s="916">
        <f>2190*3</f>
        <v>6570</v>
      </c>
      <c r="O39" s="915"/>
      <c r="P39" s="1312"/>
      <c r="Q39" s="1312"/>
      <c r="R39" s="1313"/>
    </row>
    <row r="40" spans="1:29" ht="16">
      <c r="A40" s="1215" t="s">
        <v>278</v>
      </c>
      <c r="B40" s="273"/>
      <c r="C40" s="276"/>
      <c r="D40" s="273"/>
      <c r="E40" s="273"/>
      <c r="F40" s="273"/>
      <c r="G40" s="273"/>
      <c r="H40" s="276"/>
      <c r="I40" s="273"/>
      <c r="J40" s="276"/>
      <c r="K40" s="273"/>
      <c r="L40" s="273"/>
      <c r="M40" s="273"/>
      <c r="N40" s="1324">
        <f>2755*3</f>
        <v>8265</v>
      </c>
      <c r="O40" s="1325"/>
      <c r="P40" s="1326"/>
      <c r="Q40" s="1326"/>
      <c r="R40" s="1327"/>
    </row>
    <row r="41" spans="1:29" ht="16">
      <c r="A41" s="1190" t="s">
        <v>279</v>
      </c>
      <c r="B41" s="910"/>
      <c r="C41" s="910"/>
      <c r="D41" s="910"/>
      <c r="E41" s="910"/>
      <c r="F41" s="910"/>
      <c r="G41" s="910"/>
      <c r="H41" s="910"/>
      <c r="I41" s="910"/>
      <c r="J41" s="910"/>
      <c r="K41" s="910"/>
      <c r="L41" s="910"/>
      <c r="M41" s="910"/>
      <c r="N41" s="1318">
        <f>SUM(N32:N40)</f>
        <v>59835</v>
      </c>
      <c r="O41" s="915"/>
      <c r="P41" s="1312"/>
      <c r="Q41" s="1312"/>
      <c r="R41" s="1313"/>
    </row>
    <row r="42" spans="1:29" ht="16">
      <c r="A42" s="1208"/>
      <c r="B42" s="910"/>
      <c r="C42" s="910"/>
      <c r="D42" s="910"/>
      <c r="E42" s="910"/>
      <c r="F42" s="910"/>
      <c r="G42" s="910"/>
      <c r="H42" s="910"/>
      <c r="I42" s="910"/>
      <c r="J42" s="910"/>
      <c r="K42" s="910"/>
      <c r="L42" s="910"/>
      <c r="M42" s="910"/>
      <c r="N42" s="1316"/>
      <c r="O42" s="915"/>
      <c r="P42" s="1312"/>
      <c r="Q42" s="1312"/>
      <c r="R42" s="1313"/>
    </row>
    <row r="43" spans="1:29" ht="17">
      <c r="A43" s="1217" t="s">
        <v>280</v>
      </c>
      <c r="B43" s="273"/>
      <c r="C43" s="273"/>
      <c r="D43" s="273"/>
      <c r="E43" s="273"/>
      <c r="F43" s="273"/>
      <c r="G43" s="273"/>
      <c r="H43" s="273"/>
      <c r="I43" s="273"/>
      <c r="J43" s="273"/>
      <c r="K43" s="273"/>
      <c r="L43" s="273"/>
      <c r="M43" s="273"/>
      <c r="N43" s="1328">
        <f>N29+N41</f>
        <v>172759.86293766144</v>
      </c>
      <c r="O43" s="1325"/>
      <c r="P43" s="1326"/>
      <c r="Q43" s="1326"/>
      <c r="R43" s="1327"/>
    </row>
    <row r="44" spans="1:29" ht="18" thickBot="1">
      <c r="A44" s="1218" t="s">
        <v>915</v>
      </c>
      <c r="B44" s="1219"/>
      <c r="C44" s="1219"/>
      <c r="D44" s="1219"/>
      <c r="E44" s="1219"/>
      <c r="F44" s="1219"/>
      <c r="G44" s="1219"/>
      <c r="H44" s="1219"/>
      <c r="I44" s="1219"/>
      <c r="J44" s="1219"/>
      <c r="K44" s="1219"/>
      <c r="L44" s="1219"/>
      <c r="M44" s="1219"/>
      <c r="N44" s="1329">
        <f>N43/'MK Bases Model (Base Case)'!B18</f>
        <v>8.0001574793061886E-2</v>
      </c>
      <c r="O44" s="1330"/>
      <c r="P44" s="1331"/>
      <c r="Q44" s="1331"/>
      <c r="R44" s="1332"/>
    </row>
    <row r="45" spans="1:29" ht="16">
      <c r="A45" s="3"/>
      <c r="B45" s="3"/>
      <c r="C45" s="3"/>
      <c r="D45" s="3"/>
      <c r="E45" s="3"/>
      <c r="F45" s="3"/>
      <c r="G45" s="3"/>
      <c r="H45" s="3"/>
      <c r="I45" s="3"/>
      <c r="J45" s="3"/>
      <c r="K45" s="3"/>
      <c r="L45" s="3"/>
      <c r="M45" s="3"/>
      <c r="N45" s="3"/>
      <c r="O45" s="3"/>
      <c r="P45" s="269"/>
      <c r="Q45" s="269"/>
      <c r="R45" s="3"/>
    </row>
    <row r="46" spans="1:29" ht="17" thickBot="1">
      <c r="K46" s="3"/>
      <c r="L46" s="3"/>
      <c r="M46" s="3"/>
      <c r="N46" s="3"/>
      <c r="O46" s="3"/>
      <c r="P46" s="269"/>
      <c r="Q46" s="269"/>
      <c r="R46" s="3"/>
    </row>
    <row r="47" spans="1:29" ht="69">
      <c r="A47" s="1184" t="s">
        <v>303</v>
      </c>
      <c r="B47" s="1185" t="s">
        <v>238</v>
      </c>
      <c r="C47" s="1185" t="s">
        <v>239</v>
      </c>
      <c r="D47" s="1185" t="s">
        <v>240</v>
      </c>
      <c r="E47" s="1185" t="s">
        <v>241</v>
      </c>
      <c r="F47" s="1185" t="s">
        <v>242</v>
      </c>
      <c r="G47" s="1185" t="s">
        <v>243</v>
      </c>
      <c r="H47" s="1185" t="s">
        <v>244</v>
      </c>
      <c r="I47" s="1185" t="s">
        <v>245</v>
      </c>
      <c r="J47" s="1185" t="s">
        <v>246</v>
      </c>
      <c r="K47" s="1185" t="s">
        <v>247</v>
      </c>
      <c r="L47" s="1185" t="s">
        <v>248</v>
      </c>
      <c r="M47" s="1185" t="s">
        <v>249</v>
      </c>
      <c r="N47" s="1185" t="s">
        <v>250</v>
      </c>
      <c r="O47" s="1185" t="s">
        <v>251</v>
      </c>
      <c r="P47" s="1186" t="s">
        <v>252</v>
      </c>
      <c r="Q47" s="1186" t="s">
        <v>253</v>
      </c>
      <c r="R47" s="1187" t="s">
        <v>254</v>
      </c>
      <c r="S47" s="932"/>
      <c r="T47" s="279" t="s">
        <v>281</v>
      </c>
      <c r="U47" s="280"/>
      <c r="V47" s="281" t="s">
        <v>282</v>
      </c>
      <c r="W47" s="209"/>
      <c r="X47" s="279" t="s">
        <v>283</v>
      </c>
      <c r="Y47" s="282" t="s">
        <v>284</v>
      </c>
      <c r="Z47" s="282" t="s">
        <v>285</v>
      </c>
      <c r="AA47" s="282" t="s">
        <v>286</v>
      </c>
      <c r="AB47" s="281" t="s">
        <v>287</v>
      </c>
      <c r="AC47" s="281" t="s">
        <v>288</v>
      </c>
    </row>
    <row r="48" spans="1:29" s="903" customFormat="1" ht="20" customHeight="1">
      <c r="A48" s="2005" t="s">
        <v>937</v>
      </c>
      <c r="B48" s="2006"/>
      <c r="C48" s="2006"/>
      <c r="D48" s="2006"/>
      <c r="E48" s="2006"/>
      <c r="F48" s="2006"/>
      <c r="G48" s="2006"/>
      <c r="H48" s="2006"/>
      <c r="I48" s="2006"/>
      <c r="J48" s="2006"/>
      <c r="K48" s="2006"/>
      <c r="L48" s="2006"/>
      <c r="M48" s="2006"/>
      <c r="N48" s="2006"/>
      <c r="O48" s="2006"/>
      <c r="P48" s="2006"/>
      <c r="Q48" s="2006"/>
      <c r="R48" s="2007"/>
      <c r="S48" s="932"/>
      <c r="T48" s="279"/>
      <c r="U48" s="280"/>
      <c r="V48" s="281"/>
      <c r="W48" s="209"/>
      <c r="X48" s="279"/>
      <c r="Y48" s="282"/>
      <c r="Z48" s="282"/>
      <c r="AA48" s="282"/>
      <c r="AB48" s="281"/>
      <c r="AC48" s="281"/>
    </row>
    <row r="49" spans="1:29" ht="17">
      <c r="A49" s="993" t="s">
        <v>909</v>
      </c>
      <c r="B49" s="910"/>
      <c r="C49" s="910"/>
      <c r="D49" s="910"/>
      <c r="E49" s="910"/>
      <c r="F49" s="910"/>
      <c r="G49" s="910"/>
      <c r="H49" s="910"/>
      <c r="I49" s="910"/>
      <c r="J49" s="910"/>
      <c r="K49" s="910"/>
      <c r="L49" s="910"/>
      <c r="M49" s="910"/>
      <c r="N49" s="910"/>
      <c r="O49" s="910"/>
      <c r="P49" s="1188"/>
      <c r="Q49" s="1188"/>
      <c r="R49" s="1189"/>
      <c r="S49" s="3"/>
      <c r="T49" s="283" t="s">
        <v>289</v>
      </c>
      <c r="U49" s="1555" t="s">
        <v>290</v>
      </c>
      <c r="V49" s="280"/>
      <c r="W49" s="3"/>
      <c r="X49" s="284" t="s">
        <v>291</v>
      </c>
      <c r="Y49" s="1557">
        <v>4000</v>
      </c>
      <c r="Z49" s="1557">
        <v>4000</v>
      </c>
      <c r="AA49" s="1557">
        <v>4000</v>
      </c>
      <c r="AB49" s="1557">
        <v>4000</v>
      </c>
      <c r="AC49" s="1557">
        <v>4000</v>
      </c>
    </row>
    <row r="50" spans="1:29" ht="34">
      <c r="A50" s="993" t="s">
        <v>223</v>
      </c>
      <c r="B50" s="910"/>
      <c r="C50" s="910"/>
      <c r="D50" s="910"/>
      <c r="E50" s="910"/>
      <c r="F50" s="910"/>
      <c r="G50" s="910"/>
      <c r="H50" s="910"/>
      <c r="I50" s="910"/>
      <c r="J50" s="910"/>
      <c r="K50" s="910"/>
      <c r="L50" s="910"/>
      <c r="M50" s="910"/>
      <c r="N50" s="910"/>
      <c r="O50" s="910"/>
      <c r="P50" s="1188"/>
      <c r="Q50" s="1188"/>
      <c r="R50" s="1189"/>
      <c r="S50" s="3"/>
      <c r="T50" s="283" t="s">
        <v>292</v>
      </c>
      <c r="U50" s="1555" t="s">
        <v>293</v>
      </c>
      <c r="V50" s="280"/>
      <c r="W50" s="3"/>
      <c r="X50" s="284" t="s">
        <v>294</v>
      </c>
      <c r="Y50" s="1557">
        <v>5000</v>
      </c>
      <c r="Z50" s="294"/>
      <c r="AA50" s="293"/>
      <c r="AB50" s="294"/>
      <c r="AC50" s="295"/>
    </row>
    <row r="51" spans="1:29" ht="17">
      <c r="A51" s="1190" t="s">
        <v>224</v>
      </c>
      <c r="B51" s="910"/>
      <c r="C51" s="910"/>
      <c r="D51" s="910"/>
      <c r="E51" s="910"/>
      <c r="F51" s="910"/>
      <c r="G51" s="910"/>
      <c r="H51" s="910"/>
      <c r="I51" s="910"/>
      <c r="J51" s="910"/>
      <c r="K51" s="910"/>
      <c r="L51" s="910"/>
      <c r="M51" s="910"/>
      <c r="N51" s="1311"/>
      <c r="O51" s="915"/>
      <c r="P51" s="1312"/>
      <c r="Q51" s="1312"/>
      <c r="R51" s="1313"/>
      <c r="S51" s="3"/>
      <c r="T51" s="283" t="s">
        <v>295</v>
      </c>
      <c r="U51" s="1556">
        <v>1600</v>
      </c>
      <c r="V51" s="280"/>
      <c r="W51" s="3"/>
      <c r="X51" s="284" t="s">
        <v>296</v>
      </c>
      <c r="Y51" s="1557">
        <v>4000</v>
      </c>
      <c r="Z51" s="1557">
        <v>4000</v>
      </c>
      <c r="AA51" s="1557">
        <v>4000</v>
      </c>
      <c r="AB51" s="1557">
        <v>4000</v>
      </c>
      <c r="AC51" s="1557">
        <v>4000</v>
      </c>
    </row>
    <row r="52" spans="1:29" ht="17">
      <c r="A52" s="1191" t="s">
        <v>225</v>
      </c>
      <c r="B52" s="910"/>
      <c r="C52" s="910"/>
      <c r="D52" s="910"/>
      <c r="E52" s="910"/>
      <c r="F52" s="910"/>
      <c r="G52" s="910"/>
      <c r="H52" s="910"/>
      <c r="I52" s="910"/>
      <c r="J52" s="910"/>
      <c r="K52" s="910"/>
      <c r="L52" s="910"/>
      <c r="M52" s="910"/>
      <c r="N52" s="1311" t="s">
        <v>255</v>
      </c>
      <c r="O52" s="915"/>
      <c r="P52" s="1312"/>
      <c r="Q52" s="1312"/>
      <c r="R52" s="1313"/>
      <c r="S52" s="3"/>
      <c r="T52" s="283" t="s">
        <v>297</v>
      </c>
      <c r="U52" s="1556">
        <v>1000</v>
      </c>
      <c r="V52" s="280"/>
      <c r="W52" s="3"/>
      <c r="X52" s="282" t="s">
        <v>298</v>
      </c>
      <c r="Y52" s="287"/>
      <c r="Z52" s="285"/>
      <c r="AA52" s="288"/>
      <c r="AB52" s="285"/>
      <c r="AC52" s="288">
        <f>SUM(Y49:AC51)</f>
        <v>45000</v>
      </c>
    </row>
    <row r="53" spans="1:29" ht="17">
      <c r="A53" s="1192" t="s">
        <v>226</v>
      </c>
      <c r="B53" s="910"/>
      <c r="C53" s="910"/>
      <c r="D53" s="910"/>
      <c r="E53" s="910"/>
      <c r="F53" s="910"/>
      <c r="G53" s="910"/>
      <c r="H53" s="910"/>
      <c r="I53" s="910"/>
      <c r="J53" s="910"/>
      <c r="K53" s="910"/>
      <c r="L53" s="910"/>
      <c r="M53" s="910"/>
      <c r="N53" s="916">
        <v>42960</v>
      </c>
      <c r="O53" s="915"/>
      <c r="P53" s="921">
        <f>0.5437*R53</f>
        <v>1.4014411199999997E-2</v>
      </c>
      <c r="Q53" s="921">
        <f>R53-P53</f>
        <v>1.17615888E-2</v>
      </c>
      <c r="R53" s="1229">
        <f>(N53*0.0006)/1000</f>
        <v>2.5775999999999997E-2</v>
      </c>
      <c r="S53" s="3"/>
      <c r="T53" s="283" t="s">
        <v>299</v>
      </c>
      <c r="U53" s="1556">
        <v>300</v>
      </c>
      <c r="V53" s="280"/>
      <c r="W53" s="3"/>
      <c r="X53" s="3"/>
      <c r="Y53" s="3"/>
      <c r="Z53" s="3"/>
      <c r="AA53" s="3"/>
      <c r="AB53" s="3"/>
      <c r="AC53" s="3"/>
    </row>
    <row r="54" spans="1:29" ht="17">
      <c r="A54" s="1194" t="s">
        <v>256</v>
      </c>
      <c r="B54" s="910"/>
      <c r="C54" s="910"/>
      <c r="D54" s="910"/>
      <c r="E54" s="910"/>
      <c r="F54" s="1195"/>
      <c r="G54" s="910"/>
      <c r="H54" s="910"/>
      <c r="I54" s="910"/>
      <c r="J54" s="910"/>
      <c r="K54" s="910"/>
      <c r="L54" s="910"/>
      <c r="M54" s="1195"/>
      <c r="N54" s="916"/>
      <c r="O54" s="915"/>
      <c r="P54" s="1312"/>
      <c r="Q54" s="1312"/>
      <c r="R54" s="1314"/>
      <c r="S54" s="3"/>
      <c r="T54" s="283" t="s">
        <v>300</v>
      </c>
      <c r="U54" s="1556">
        <v>300</v>
      </c>
      <c r="V54" s="280"/>
      <c r="W54" s="3"/>
      <c r="X54" s="3"/>
      <c r="Y54" s="3"/>
      <c r="Z54" s="3"/>
      <c r="AA54" s="3"/>
      <c r="AB54" s="3"/>
      <c r="AC54" s="3"/>
    </row>
    <row r="55" spans="1:29" ht="17">
      <c r="A55" s="1194" t="s">
        <v>257</v>
      </c>
      <c r="B55" s="910"/>
      <c r="C55" s="1195"/>
      <c r="D55" s="910"/>
      <c r="E55" s="910"/>
      <c r="F55" s="910"/>
      <c r="G55" s="910"/>
      <c r="H55" s="910"/>
      <c r="I55" s="910"/>
      <c r="J55" s="910"/>
      <c r="K55" s="910"/>
      <c r="L55" s="1195"/>
      <c r="M55" s="910"/>
      <c r="N55" s="916"/>
      <c r="O55" s="915"/>
      <c r="P55" s="1315"/>
      <c r="Q55" s="1315"/>
      <c r="R55" s="1314"/>
      <c r="S55" s="3"/>
      <c r="T55" s="289" t="s">
        <v>301</v>
      </c>
      <c r="U55" s="290">
        <f>1010+1160+SUM(U51:U54)</f>
        <v>5370</v>
      </c>
      <c r="V55" s="280"/>
      <c r="W55" s="3"/>
      <c r="X55" s="3"/>
      <c r="Y55" s="3"/>
      <c r="Z55" s="3"/>
      <c r="AA55" s="3"/>
      <c r="AB55" s="3"/>
      <c r="AC55" s="3"/>
    </row>
    <row r="56" spans="1:29" ht="17">
      <c r="A56" s="1194" t="s">
        <v>258</v>
      </c>
      <c r="B56" s="910"/>
      <c r="C56" s="910"/>
      <c r="D56" s="910"/>
      <c r="E56" s="910"/>
      <c r="F56" s="910"/>
      <c r="G56" s="910"/>
      <c r="H56" s="910"/>
      <c r="I56" s="1195"/>
      <c r="J56" s="910"/>
      <c r="K56" s="910"/>
      <c r="L56" s="910"/>
      <c r="M56" s="910"/>
      <c r="N56" s="916"/>
      <c r="O56" s="915"/>
      <c r="P56" s="1315"/>
      <c r="Q56" s="1315"/>
      <c r="R56" s="1314"/>
      <c r="S56" s="3"/>
      <c r="T56" s="289" t="s">
        <v>302</v>
      </c>
      <c r="U56" s="291">
        <f>U55*8</f>
        <v>42960</v>
      </c>
      <c r="V56" s="292">
        <f>(U56*0.0006)/1000</f>
        <v>2.5775999999999997E-2</v>
      </c>
      <c r="W56" s="274"/>
      <c r="X56" s="3"/>
      <c r="Y56" s="3"/>
      <c r="Z56" s="3"/>
      <c r="AA56" s="3"/>
      <c r="AB56" s="3"/>
      <c r="AC56" s="3"/>
    </row>
    <row r="57" spans="1:29" ht="17">
      <c r="A57" s="1194" t="s">
        <v>259</v>
      </c>
      <c r="B57" s="910"/>
      <c r="C57" s="910"/>
      <c r="D57" s="910"/>
      <c r="E57" s="910"/>
      <c r="F57" s="910"/>
      <c r="G57" s="910"/>
      <c r="H57" s="910"/>
      <c r="I57" s="910"/>
      <c r="J57" s="1195"/>
      <c r="K57" s="910"/>
      <c r="L57" s="910"/>
      <c r="M57" s="910"/>
      <c r="N57" s="916"/>
      <c r="O57" s="915"/>
      <c r="P57" s="1315"/>
      <c r="Q57" s="1315"/>
      <c r="R57" s="1314"/>
      <c r="S57" s="3"/>
    </row>
    <row r="58" spans="1:29" ht="17">
      <c r="A58" s="1194" t="s">
        <v>260</v>
      </c>
      <c r="B58" s="910"/>
      <c r="C58" s="910"/>
      <c r="D58" s="1195"/>
      <c r="E58" s="910"/>
      <c r="F58" s="910"/>
      <c r="G58" s="910"/>
      <c r="H58" s="910"/>
      <c r="I58" s="910"/>
      <c r="J58" s="910"/>
      <c r="K58" s="910"/>
      <c r="L58" s="910"/>
      <c r="M58" s="910"/>
      <c r="N58" s="916"/>
      <c r="O58" s="915"/>
      <c r="P58" s="1315"/>
      <c r="Q58" s="1315"/>
      <c r="R58" s="1314"/>
      <c r="S58" s="3"/>
    </row>
    <row r="59" spans="1:29" ht="22" customHeight="1">
      <c r="A59" s="1194" t="s">
        <v>261</v>
      </c>
      <c r="B59" s="910"/>
      <c r="C59" s="910"/>
      <c r="D59" s="910"/>
      <c r="E59" s="910"/>
      <c r="F59" s="1195"/>
      <c r="G59" s="910"/>
      <c r="H59" s="910"/>
      <c r="I59" s="910"/>
      <c r="J59" s="910"/>
      <c r="K59" s="910"/>
      <c r="L59" s="910"/>
      <c r="M59" s="910"/>
      <c r="N59" s="916"/>
      <c r="O59" s="915"/>
      <c r="P59" s="1315"/>
      <c r="Q59" s="1315"/>
      <c r="R59" s="1314"/>
      <c r="S59" s="3"/>
    </row>
    <row r="60" spans="1:29" ht="22" customHeight="1">
      <c r="A60" s="1194" t="s">
        <v>262</v>
      </c>
      <c r="B60" s="910"/>
      <c r="C60" s="910"/>
      <c r="D60" s="910"/>
      <c r="E60" s="910"/>
      <c r="F60" s="910"/>
      <c r="G60" s="910"/>
      <c r="H60" s="1195"/>
      <c r="I60" s="910"/>
      <c r="J60" s="910"/>
      <c r="K60" s="910"/>
      <c r="L60" s="910"/>
      <c r="M60" s="910"/>
      <c r="N60" s="916"/>
      <c r="O60" s="915"/>
      <c r="P60" s="1315"/>
      <c r="Q60" s="1315"/>
      <c r="R60" s="1314"/>
      <c r="S60" s="3"/>
    </row>
    <row r="61" spans="1:29" ht="22" customHeight="1">
      <c r="A61" s="1194" t="s">
        <v>263</v>
      </c>
      <c r="B61" s="910"/>
      <c r="C61" s="910"/>
      <c r="D61" s="910"/>
      <c r="E61" s="910"/>
      <c r="F61" s="910"/>
      <c r="G61" s="910"/>
      <c r="H61" s="910"/>
      <c r="I61" s="910"/>
      <c r="J61" s="910"/>
      <c r="K61" s="1195"/>
      <c r="L61" s="910"/>
      <c r="M61" s="910"/>
      <c r="N61" s="916"/>
      <c r="O61" s="915"/>
      <c r="P61" s="1315"/>
      <c r="Q61" s="1315"/>
      <c r="R61" s="1314"/>
      <c r="S61" s="3"/>
    </row>
    <row r="62" spans="1:29" ht="22" customHeight="1">
      <c r="A62" s="1192" t="s">
        <v>227</v>
      </c>
      <c r="B62" s="911"/>
      <c r="C62" s="911"/>
      <c r="D62" s="911"/>
      <c r="E62" s="911"/>
      <c r="F62" s="911"/>
      <c r="G62" s="911"/>
      <c r="H62" s="911"/>
      <c r="I62" s="911"/>
      <c r="J62" s="911"/>
      <c r="K62" s="911"/>
      <c r="L62" s="911"/>
      <c r="M62" s="911"/>
      <c r="N62" s="916">
        <v>10875</v>
      </c>
      <c r="O62" s="915"/>
      <c r="P62" s="921">
        <v>0.02</v>
      </c>
      <c r="Q62" s="921">
        <v>0.02</v>
      </c>
      <c r="R62" s="1229">
        <v>0.03</v>
      </c>
      <c r="S62" s="3"/>
    </row>
    <row r="63" spans="1:29" ht="22" customHeight="1">
      <c r="A63" s="1198" t="s">
        <v>264</v>
      </c>
      <c r="B63" s="910"/>
      <c r="C63" s="910"/>
      <c r="D63" s="910"/>
      <c r="E63" s="910"/>
      <c r="F63" s="910"/>
      <c r="G63" s="910"/>
      <c r="H63" s="910"/>
      <c r="I63" s="910"/>
      <c r="J63" s="910"/>
      <c r="K63" s="910"/>
      <c r="L63" s="910"/>
      <c r="M63" s="910"/>
      <c r="N63" s="916">
        <v>5051</v>
      </c>
      <c r="O63" s="915"/>
      <c r="P63" s="1312"/>
      <c r="Q63" s="1312"/>
      <c r="R63" s="1314"/>
      <c r="S63" s="3"/>
    </row>
    <row r="64" spans="1:29" ht="22" customHeight="1">
      <c r="A64" s="1190" t="s">
        <v>229</v>
      </c>
      <c r="B64" s="910"/>
      <c r="C64" s="910"/>
      <c r="D64" s="910"/>
      <c r="E64" s="910"/>
      <c r="F64" s="910"/>
      <c r="G64" s="910"/>
      <c r="H64" s="910"/>
      <c r="I64" s="910"/>
      <c r="J64" s="910"/>
      <c r="K64" s="910"/>
      <c r="L64" s="910"/>
      <c r="M64" s="910"/>
      <c r="N64" s="916"/>
      <c r="O64" s="915"/>
      <c r="P64" s="921"/>
      <c r="Q64" s="921"/>
      <c r="R64" s="1229"/>
      <c r="S64" s="3"/>
    </row>
    <row r="65" spans="1:19" ht="17">
      <c r="A65" s="1198" t="s">
        <v>230</v>
      </c>
      <c r="B65" s="910"/>
      <c r="C65" s="910"/>
      <c r="D65" s="910"/>
      <c r="E65" s="910"/>
      <c r="F65" s="910"/>
      <c r="G65" s="910"/>
      <c r="H65" s="910"/>
      <c r="I65" s="910"/>
      <c r="J65" s="910"/>
      <c r="K65" s="910"/>
      <c r="L65" s="910"/>
      <c r="M65" s="910"/>
      <c r="N65" s="916">
        <v>20000</v>
      </c>
      <c r="O65" s="915"/>
      <c r="P65" s="921">
        <v>0.01</v>
      </c>
      <c r="Q65" s="921">
        <v>0.01</v>
      </c>
      <c r="R65" s="1229">
        <f>Q65+P65</f>
        <v>0.02</v>
      </c>
      <c r="S65" s="3"/>
    </row>
    <row r="66" spans="1:19" ht="34">
      <c r="A66" s="1194" t="s">
        <v>265</v>
      </c>
      <c r="B66" s="1199"/>
      <c r="C66" s="910"/>
      <c r="D66" s="1199"/>
      <c r="E66" s="910"/>
      <c r="F66" s="1200"/>
      <c r="G66" s="1199"/>
      <c r="H66" s="1199"/>
      <c r="I66" s="910"/>
      <c r="J66" s="1199"/>
      <c r="K66" s="910"/>
      <c r="L66" s="1199"/>
      <c r="M66" s="1199"/>
      <c r="N66" s="1316"/>
      <c r="O66" s="915"/>
      <c r="P66" s="1312"/>
      <c r="Q66" s="1312"/>
      <c r="R66" s="1314"/>
      <c r="S66" s="3"/>
    </row>
    <row r="67" spans="1:19" ht="51">
      <c r="A67" s="1194" t="s">
        <v>266</v>
      </c>
      <c r="B67" s="910"/>
      <c r="C67" s="910"/>
      <c r="D67" s="910"/>
      <c r="E67" s="1199"/>
      <c r="F67" s="1199"/>
      <c r="G67" s="1199"/>
      <c r="H67" s="910"/>
      <c r="I67" s="910"/>
      <c r="J67" s="910"/>
      <c r="K67" s="1199"/>
      <c r="L67" s="1199"/>
      <c r="M67" s="1199"/>
      <c r="N67" s="1316"/>
      <c r="O67" s="915"/>
      <c r="P67" s="1312"/>
      <c r="Q67" s="1312"/>
      <c r="R67" s="1314"/>
      <c r="S67" s="3"/>
    </row>
    <row r="68" spans="1:19" ht="17">
      <c r="A68" s="1198" t="s">
        <v>304</v>
      </c>
      <c r="B68" s="1223"/>
      <c r="C68" s="1223"/>
      <c r="D68" s="1223"/>
      <c r="E68" s="1223"/>
      <c r="F68" s="1223"/>
      <c r="G68" s="1223"/>
      <c r="H68" s="1223"/>
      <c r="I68" s="1223"/>
      <c r="J68" s="1223"/>
      <c r="K68" s="1223"/>
      <c r="L68" s="1223"/>
      <c r="M68" s="1223"/>
      <c r="N68" s="1316"/>
      <c r="O68" s="915"/>
      <c r="P68" s="1312"/>
      <c r="Q68" s="1312"/>
      <c r="R68" s="1229">
        <v>1.9E-3</v>
      </c>
      <c r="S68" s="3"/>
    </row>
    <row r="69" spans="1:19" ht="17">
      <c r="A69" s="1198" t="s">
        <v>232</v>
      </c>
      <c r="B69" s="910"/>
      <c r="C69" s="910"/>
      <c r="D69" s="910"/>
      <c r="E69" s="910"/>
      <c r="F69" s="910"/>
      <c r="G69" s="910"/>
      <c r="H69" s="910"/>
      <c r="I69" s="910"/>
      <c r="J69" s="910"/>
      <c r="K69" s="910"/>
      <c r="L69" s="910"/>
      <c r="M69" s="910"/>
      <c r="N69" s="1316"/>
      <c r="O69" s="915"/>
      <c r="P69" s="1312"/>
      <c r="Q69" s="1312"/>
      <c r="R69" s="1229">
        <v>5.0000000000000001E-3</v>
      </c>
      <c r="S69" s="3"/>
    </row>
    <row r="70" spans="1:19" ht="16">
      <c r="A70" s="1190" t="s">
        <v>233</v>
      </c>
      <c r="B70" s="910"/>
      <c r="C70" s="910"/>
      <c r="D70" s="910"/>
      <c r="E70" s="910"/>
      <c r="F70" s="910"/>
      <c r="G70" s="910"/>
      <c r="H70" s="910"/>
      <c r="I70" s="910"/>
      <c r="J70" s="910"/>
      <c r="K70" s="910"/>
      <c r="L70" s="910"/>
      <c r="M70" s="910"/>
      <c r="N70" s="915"/>
      <c r="O70" s="915"/>
      <c r="P70" s="1312"/>
      <c r="Q70" s="1312"/>
      <c r="R70" s="1313"/>
      <c r="S70" s="3"/>
    </row>
    <row r="71" spans="1:19" ht="16">
      <c r="A71" s="1192" t="s">
        <v>234</v>
      </c>
      <c r="B71" s="911"/>
      <c r="C71" s="911"/>
      <c r="D71" s="911"/>
      <c r="E71" s="911"/>
      <c r="F71" s="911"/>
      <c r="G71" s="911"/>
      <c r="H71" s="911"/>
      <c r="I71" s="911"/>
      <c r="J71" s="911"/>
      <c r="K71" s="911"/>
      <c r="L71" s="911"/>
      <c r="M71" s="911"/>
      <c r="N71" s="916">
        <f>0.25*45000</f>
        <v>11250</v>
      </c>
      <c r="O71" s="915"/>
      <c r="P71" s="921">
        <v>5.0000000000000001E-3</v>
      </c>
      <c r="Q71" s="921">
        <v>5.0000000000000001E-3</v>
      </c>
      <c r="R71" s="1229">
        <v>0.01</v>
      </c>
      <c r="S71" s="3"/>
    </row>
    <row r="72" spans="1:19" s="903" customFormat="1" ht="16">
      <c r="A72" s="1192" t="s">
        <v>267</v>
      </c>
      <c r="B72" s="911"/>
      <c r="C72" s="911"/>
      <c r="D72" s="911"/>
      <c r="E72" s="911"/>
      <c r="F72" s="911"/>
      <c r="G72" s="911"/>
      <c r="H72" s="911"/>
      <c r="I72" s="911"/>
      <c r="J72" s="911"/>
      <c r="K72" s="911"/>
      <c r="L72" s="911"/>
      <c r="M72" s="911"/>
      <c r="N72" s="916">
        <v>1500</v>
      </c>
      <c r="O72" s="915"/>
      <c r="P72" s="921">
        <v>0</v>
      </c>
      <c r="Q72" s="921">
        <v>0</v>
      </c>
      <c r="R72" s="1317">
        <f>Q72+P72</f>
        <v>0</v>
      </c>
      <c r="S72" s="904"/>
    </row>
    <row r="73" spans="1:19" s="903" customFormat="1" ht="16">
      <c r="A73" s="1190" t="s">
        <v>914</v>
      </c>
      <c r="B73" s="915"/>
      <c r="C73" s="915"/>
      <c r="D73" s="915"/>
      <c r="E73" s="915"/>
      <c r="F73" s="915"/>
      <c r="G73" s="915"/>
      <c r="H73" s="915"/>
      <c r="I73" s="915"/>
      <c r="J73" s="915"/>
      <c r="K73" s="915"/>
      <c r="L73" s="915"/>
      <c r="M73" s="915"/>
      <c r="N73" s="916"/>
      <c r="O73" s="915"/>
      <c r="P73" s="921"/>
      <c r="Q73" s="921"/>
      <c r="R73" s="1229"/>
      <c r="S73" s="904"/>
    </row>
    <row r="74" spans="1:19" ht="16">
      <c r="A74" s="1202" t="s">
        <v>913</v>
      </c>
      <c r="B74" s="913"/>
      <c r="C74" s="913"/>
      <c r="D74" s="913"/>
      <c r="E74" s="913"/>
      <c r="F74" s="913"/>
      <c r="G74" s="913"/>
      <c r="H74" s="913"/>
      <c r="I74" s="913"/>
      <c r="J74" s="913"/>
      <c r="K74" s="913"/>
      <c r="L74" s="913"/>
      <c r="M74" s="913"/>
      <c r="N74" s="918">
        <f>1*'MK Bases Model (Base Case)'!C16</f>
        <v>18290.759828011393</v>
      </c>
      <c r="O74" s="914"/>
      <c r="P74" s="914"/>
      <c r="Q74" s="914"/>
      <c r="R74" s="1203"/>
      <c r="S74" s="3"/>
    </row>
    <row r="75" spans="1:19" ht="16">
      <c r="A75" s="1190" t="s">
        <v>268</v>
      </c>
      <c r="B75" s="910"/>
      <c r="C75" s="910"/>
      <c r="D75" s="910"/>
      <c r="E75" s="910"/>
      <c r="F75" s="910"/>
      <c r="G75" s="910"/>
      <c r="H75" s="910"/>
      <c r="I75" s="910"/>
      <c r="J75" s="910"/>
      <c r="K75" s="910"/>
      <c r="L75" s="910"/>
      <c r="M75" s="910"/>
      <c r="N75" s="1318">
        <f>SUM(N53:N74)</f>
        <v>109926.75982801139</v>
      </c>
      <c r="O75" s="1319"/>
      <c r="P75" s="1320">
        <f>SUM(P53:P73)</f>
        <v>4.9014411199999997E-2</v>
      </c>
      <c r="Q75" s="1321">
        <f>SUM(Q53:Q73)</f>
        <v>4.6761588800000004E-2</v>
      </c>
      <c r="R75" s="1322">
        <f>SUM(R53:R73)</f>
        <v>9.2675999999999994E-2</v>
      </c>
      <c r="S75" s="3"/>
    </row>
    <row r="76" spans="1:19" ht="16">
      <c r="A76" s="1208"/>
      <c r="B76" s="910"/>
      <c r="C76" s="910"/>
      <c r="D76" s="910"/>
      <c r="E76" s="910"/>
      <c r="F76" s="910"/>
      <c r="G76" s="910"/>
      <c r="H76" s="910"/>
      <c r="I76" s="910"/>
      <c r="J76" s="910"/>
      <c r="K76" s="910"/>
      <c r="L76" s="910"/>
      <c r="M76" s="910"/>
      <c r="N76" s="915"/>
      <c r="O76" s="915"/>
      <c r="P76" s="1312"/>
      <c r="Q76" s="1312"/>
      <c r="R76" s="1313"/>
      <c r="S76" s="3"/>
    </row>
    <row r="77" spans="1:19" ht="16">
      <c r="A77" s="993" t="s">
        <v>269</v>
      </c>
      <c r="B77" s="910"/>
      <c r="C77" s="910"/>
      <c r="D77" s="910"/>
      <c r="E77" s="910"/>
      <c r="F77" s="910"/>
      <c r="G77" s="910"/>
      <c r="H77" s="910"/>
      <c r="I77" s="910"/>
      <c r="J77" s="910"/>
      <c r="K77" s="910"/>
      <c r="L77" s="910"/>
      <c r="M77" s="910"/>
      <c r="N77" s="915"/>
      <c r="O77" s="915"/>
      <c r="P77" s="1312"/>
      <c r="Q77" s="1312"/>
      <c r="R77" s="1313"/>
      <c r="S77" s="3"/>
    </row>
    <row r="78" spans="1:19" ht="16">
      <c r="A78" s="1192" t="s">
        <v>270</v>
      </c>
      <c r="B78" s="910"/>
      <c r="C78" s="910"/>
      <c r="D78" s="910"/>
      <c r="E78" s="910"/>
      <c r="F78" s="910"/>
      <c r="G78" s="910"/>
      <c r="H78" s="910"/>
      <c r="I78" s="1196"/>
      <c r="J78" s="910"/>
      <c r="K78" s="910"/>
      <c r="L78" s="910"/>
      <c r="M78" s="910"/>
      <c r="N78" s="916">
        <v>45000</v>
      </c>
      <c r="O78" s="915"/>
      <c r="P78" s="1312"/>
      <c r="Q78" s="1312"/>
      <c r="R78" s="1313"/>
      <c r="S78" s="3"/>
    </row>
    <row r="79" spans="1:19" ht="16">
      <c r="A79" s="1209" t="s">
        <v>271</v>
      </c>
      <c r="B79" s="910"/>
      <c r="C79" s="910"/>
      <c r="D79" s="1210"/>
      <c r="E79" s="910"/>
      <c r="F79" s="910"/>
      <c r="G79" s="910"/>
      <c r="H79" s="910"/>
      <c r="I79" s="910"/>
      <c r="J79" s="910"/>
      <c r="K79" s="910"/>
      <c r="L79" s="910"/>
      <c r="M79" s="910"/>
      <c r="N79" s="1323"/>
      <c r="O79" s="915"/>
      <c r="P79" s="1312"/>
      <c r="Q79" s="1312"/>
      <c r="R79" s="1313"/>
      <c r="S79" s="3"/>
    </row>
    <row r="80" spans="1:19" ht="16">
      <c r="A80" s="1209" t="s">
        <v>272</v>
      </c>
      <c r="B80" s="910"/>
      <c r="C80" s="910"/>
      <c r="D80" s="910"/>
      <c r="E80" s="910"/>
      <c r="F80" s="910"/>
      <c r="G80" s="910"/>
      <c r="H80" s="910"/>
      <c r="I80" s="1210"/>
      <c r="J80" s="910"/>
      <c r="K80" s="910"/>
      <c r="L80" s="910"/>
      <c r="M80" s="910"/>
      <c r="N80" s="915"/>
      <c r="O80" s="915"/>
      <c r="P80" s="1312"/>
      <c r="Q80" s="1312"/>
      <c r="R80" s="1313"/>
      <c r="S80" s="3"/>
    </row>
    <row r="81" spans="1:29" ht="16">
      <c r="A81" s="1209" t="s">
        <v>273</v>
      </c>
      <c r="B81" s="910"/>
      <c r="C81" s="910"/>
      <c r="D81" s="910"/>
      <c r="E81" s="910"/>
      <c r="F81" s="910"/>
      <c r="G81" s="910"/>
      <c r="H81" s="910"/>
      <c r="I81" s="910"/>
      <c r="J81" s="910"/>
      <c r="K81" s="1210"/>
      <c r="L81" s="910"/>
      <c r="M81" s="910"/>
      <c r="N81" s="915"/>
      <c r="O81" s="915"/>
      <c r="P81" s="1312"/>
      <c r="Q81" s="1312"/>
      <c r="R81" s="1313"/>
      <c r="S81" s="3"/>
    </row>
    <row r="82" spans="1:29" ht="17">
      <c r="A82" s="1212" t="s">
        <v>274</v>
      </c>
      <c r="B82" s="910"/>
      <c r="C82" s="910"/>
      <c r="D82" s="910"/>
      <c r="E82" s="910"/>
      <c r="F82" s="910"/>
      <c r="G82" s="1213"/>
      <c r="H82" s="910"/>
      <c r="I82" s="910"/>
      <c r="J82" s="910"/>
      <c r="K82" s="910"/>
      <c r="L82" s="910"/>
      <c r="M82" s="910"/>
      <c r="N82" s="915"/>
      <c r="O82" s="915"/>
      <c r="P82" s="1312"/>
      <c r="Q82" s="1312"/>
      <c r="R82" s="1313"/>
      <c r="S82" s="3"/>
    </row>
    <row r="83" spans="1:29" ht="16">
      <c r="A83" s="1209" t="s">
        <v>275</v>
      </c>
      <c r="B83" s="910"/>
      <c r="C83" s="910"/>
      <c r="D83" s="910"/>
      <c r="E83" s="910"/>
      <c r="F83" s="910"/>
      <c r="G83" s="910"/>
      <c r="H83" s="1210"/>
      <c r="I83" s="910"/>
      <c r="J83" s="910"/>
      <c r="K83" s="910"/>
      <c r="L83" s="910"/>
      <c r="M83" s="910"/>
      <c r="N83" s="915"/>
      <c r="O83" s="915"/>
      <c r="P83" s="1312"/>
      <c r="Q83" s="1312"/>
      <c r="R83" s="1313"/>
      <c r="S83" s="3"/>
    </row>
    <row r="84" spans="1:29" ht="16">
      <c r="A84" s="1192" t="s">
        <v>276</v>
      </c>
      <c r="B84" s="910"/>
      <c r="C84" s="910"/>
      <c r="D84" s="910"/>
      <c r="E84" s="910"/>
      <c r="F84" s="910"/>
      <c r="G84" s="1225"/>
      <c r="H84" s="910"/>
      <c r="I84" s="910"/>
      <c r="J84" s="910"/>
      <c r="K84" s="910"/>
      <c r="L84" s="910"/>
      <c r="M84" s="910"/>
      <c r="N84" s="915"/>
      <c r="O84" s="915"/>
      <c r="P84" s="1312"/>
      <c r="Q84" s="1333"/>
      <c r="R84" s="1313"/>
      <c r="S84" s="3"/>
    </row>
    <row r="85" spans="1:29" ht="16">
      <c r="A85" s="1209" t="s">
        <v>277</v>
      </c>
      <c r="B85" s="910"/>
      <c r="C85" s="1210"/>
      <c r="D85" s="910"/>
      <c r="E85" s="910"/>
      <c r="F85" s="910"/>
      <c r="G85" s="910"/>
      <c r="H85" s="1210"/>
      <c r="I85" s="910"/>
      <c r="J85" s="1210"/>
      <c r="K85" s="910"/>
      <c r="L85" s="910"/>
      <c r="M85" s="910"/>
      <c r="N85" s="916">
        <f>2190*3</f>
        <v>6570</v>
      </c>
      <c r="O85" s="915"/>
      <c r="P85" s="1312"/>
      <c r="Q85" s="1312"/>
      <c r="R85" s="1313"/>
      <c r="S85" s="3"/>
    </row>
    <row r="86" spans="1:29" ht="16">
      <c r="A86" s="1215" t="s">
        <v>278</v>
      </c>
      <c r="B86" s="273"/>
      <c r="C86" s="276"/>
      <c r="D86" s="273"/>
      <c r="E86" s="273"/>
      <c r="F86" s="273"/>
      <c r="G86" s="273"/>
      <c r="H86" s="276"/>
      <c r="I86" s="273"/>
      <c r="J86" s="276"/>
      <c r="K86" s="273"/>
      <c r="L86" s="273"/>
      <c r="M86" s="273"/>
      <c r="N86" s="1324">
        <f>2755*3</f>
        <v>8265</v>
      </c>
      <c r="O86" s="1325"/>
      <c r="P86" s="1326"/>
      <c r="Q86" s="1326"/>
      <c r="R86" s="1327"/>
      <c r="S86" s="3"/>
    </row>
    <row r="87" spans="1:29" ht="16">
      <c r="A87" s="1190" t="s">
        <v>279</v>
      </c>
      <c r="B87" s="910"/>
      <c r="C87" s="910"/>
      <c r="D87" s="910"/>
      <c r="E87" s="910"/>
      <c r="F87" s="910"/>
      <c r="G87" s="910"/>
      <c r="H87" s="910"/>
      <c r="I87" s="910"/>
      <c r="J87" s="910"/>
      <c r="K87" s="910"/>
      <c r="L87" s="910"/>
      <c r="M87" s="910"/>
      <c r="N87" s="1318">
        <f>SUM(N78:N86)</f>
        <v>59835</v>
      </c>
      <c r="O87" s="915"/>
      <c r="P87" s="1312"/>
      <c r="Q87" s="1312"/>
      <c r="R87" s="1313"/>
      <c r="S87" s="3"/>
    </row>
    <row r="88" spans="1:29" ht="16">
      <c r="A88" s="1208"/>
      <c r="B88" s="910"/>
      <c r="C88" s="910"/>
      <c r="D88" s="910"/>
      <c r="E88" s="910"/>
      <c r="F88" s="910"/>
      <c r="G88" s="910"/>
      <c r="H88" s="910"/>
      <c r="I88" s="910"/>
      <c r="J88" s="910"/>
      <c r="K88" s="910"/>
      <c r="L88" s="910"/>
      <c r="M88" s="910"/>
      <c r="N88" s="1316"/>
      <c r="O88" s="915"/>
      <c r="P88" s="1312"/>
      <c r="Q88" s="1312"/>
      <c r="R88" s="1313"/>
      <c r="S88" s="3"/>
    </row>
    <row r="89" spans="1:29" ht="17">
      <c r="A89" s="1217" t="s">
        <v>280</v>
      </c>
      <c r="B89" s="273"/>
      <c r="C89" s="273"/>
      <c r="D89" s="273"/>
      <c r="E89" s="273"/>
      <c r="F89" s="273"/>
      <c r="G89" s="273"/>
      <c r="H89" s="273"/>
      <c r="I89" s="273"/>
      <c r="J89" s="273"/>
      <c r="K89" s="273"/>
      <c r="L89" s="273"/>
      <c r="M89" s="273"/>
      <c r="N89" s="1328">
        <f>N75+N87</f>
        <v>169761.75982801139</v>
      </c>
      <c r="O89" s="1325"/>
      <c r="P89" s="1326"/>
      <c r="Q89" s="1326"/>
      <c r="R89" s="1327"/>
      <c r="S89" s="3"/>
    </row>
    <row r="90" spans="1:29" ht="18" thickBot="1">
      <c r="A90" s="1218" t="s">
        <v>915</v>
      </c>
      <c r="B90" s="1219"/>
      <c r="C90" s="1219"/>
      <c r="D90" s="1219"/>
      <c r="E90" s="1219"/>
      <c r="F90" s="1219"/>
      <c r="G90" s="1219"/>
      <c r="H90" s="1219"/>
      <c r="I90" s="1219"/>
      <c r="J90" s="1219"/>
      <c r="K90" s="1219"/>
      <c r="L90" s="1219"/>
      <c r="M90" s="1219"/>
      <c r="N90" s="1220">
        <f>N89/'MK Bases Model (Base Case)'!C18</f>
        <v>5.4340586757461402E-2</v>
      </c>
      <c r="O90" s="1219"/>
      <c r="P90" s="1221"/>
      <c r="Q90" s="1221"/>
      <c r="R90" s="1222"/>
    </row>
    <row r="91" spans="1:29" ht="13"/>
    <row r="92" spans="1:29" ht="14" thickBot="1"/>
    <row r="93" spans="1:29" ht="52">
      <c r="A93" s="1184" t="s">
        <v>305</v>
      </c>
      <c r="B93" s="1185" t="s">
        <v>238</v>
      </c>
      <c r="C93" s="1185" t="s">
        <v>239</v>
      </c>
      <c r="D93" s="1185" t="s">
        <v>240</v>
      </c>
      <c r="E93" s="1185" t="s">
        <v>241</v>
      </c>
      <c r="F93" s="1185" t="s">
        <v>242</v>
      </c>
      <c r="G93" s="1185" t="s">
        <v>243</v>
      </c>
      <c r="H93" s="1185" t="s">
        <v>244</v>
      </c>
      <c r="I93" s="1185" t="s">
        <v>245</v>
      </c>
      <c r="J93" s="1185" t="s">
        <v>246</v>
      </c>
      <c r="K93" s="1185" t="s">
        <v>247</v>
      </c>
      <c r="L93" s="1185" t="s">
        <v>248</v>
      </c>
      <c r="M93" s="1185" t="s">
        <v>249</v>
      </c>
      <c r="N93" s="1185" t="s">
        <v>250</v>
      </c>
      <c r="O93" s="1185" t="s">
        <v>251</v>
      </c>
      <c r="P93" s="1185" t="s">
        <v>252</v>
      </c>
      <c r="Q93" s="1185" t="s">
        <v>253</v>
      </c>
      <c r="R93" s="1226" t="s">
        <v>254</v>
      </c>
      <c r="S93" s="932"/>
      <c r="T93" s="299" t="s">
        <v>316</v>
      </c>
      <c r="U93" s="300" t="s">
        <v>317</v>
      </c>
      <c r="V93" s="301" t="s">
        <v>318</v>
      </c>
      <c r="W93" s="301" t="s">
        <v>319</v>
      </c>
      <c r="X93" s="301" t="s">
        <v>320</v>
      </c>
      <c r="Y93" s="301" t="s">
        <v>4</v>
      </c>
      <c r="Z93" s="301" t="s">
        <v>321</v>
      </c>
      <c r="AA93" s="302" t="s">
        <v>322</v>
      </c>
      <c r="AB93" s="303" t="s">
        <v>323</v>
      </c>
      <c r="AC93" s="301" t="s">
        <v>324</v>
      </c>
    </row>
    <row r="94" spans="1:29" s="903" customFormat="1" ht="22" customHeight="1">
      <c r="A94" s="2005" t="s">
        <v>938</v>
      </c>
      <c r="B94" s="2006"/>
      <c r="C94" s="2006"/>
      <c r="D94" s="2006"/>
      <c r="E94" s="2006"/>
      <c r="F94" s="2006"/>
      <c r="G94" s="2006"/>
      <c r="H94" s="2006"/>
      <c r="I94" s="2006"/>
      <c r="J94" s="2006"/>
      <c r="K94" s="2006"/>
      <c r="L94" s="2006"/>
      <c r="M94" s="2006"/>
      <c r="N94" s="2006"/>
      <c r="O94" s="2006"/>
      <c r="P94" s="2006"/>
      <c r="Q94" s="2006"/>
      <c r="R94" s="2007"/>
      <c r="S94" s="932"/>
      <c r="T94" s="299"/>
      <c r="U94" s="300"/>
      <c r="V94" s="301"/>
      <c r="W94" s="301"/>
      <c r="X94" s="301"/>
      <c r="Y94" s="301"/>
      <c r="Z94" s="306">
        <f>Y95*U95</f>
        <v>1397142.857142857</v>
      </c>
      <c r="AA94" s="307">
        <f>(W95/Z94)*1000</f>
        <v>52.607361963190186</v>
      </c>
      <c r="AB94" s="287">
        <f>(X95/Z94)*1000</f>
        <v>35</v>
      </c>
      <c r="AC94" s="149">
        <f>Z94/4/('MK Segmentation'!$A$4)</f>
        <v>2.1079403396844554E-2</v>
      </c>
    </row>
    <row r="95" spans="1:29" ht="17">
      <c r="A95" s="993" t="s">
        <v>910</v>
      </c>
      <c r="B95" s="910"/>
      <c r="C95" s="910"/>
      <c r="D95" s="910"/>
      <c r="E95" s="910"/>
      <c r="F95" s="910"/>
      <c r="G95" s="910"/>
      <c r="H95" s="910"/>
      <c r="I95" s="910"/>
      <c r="J95" s="910"/>
      <c r="K95" s="910"/>
      <c r="L95" s="910"/>
      <c r="M95" s="910"/>
      <c r="N95" s="910"/>
      <c r="O95" s="910"/>
      <c r="P95" s="1188"/>
      <c r="Q95" s="1188"/>
      <c r="R95" s="1189"/>
      <c r="S95" s="933"/>
      <c r="T95" s="304" t="s">
        <v>325</v>
      </c>
      <c r="U95" s="1558">
        <f>2100000</f>
        <v>2100000</v>
      </c>
      <c r="V95" s="1565">
        <f>0.7*0.74</f>
        <v>0.51800000000000002</v>
      </c>
      <c r="W95" s="1559">
        <v>73500</v>
      </c>
      <c r="X95" s="1559">
        <v>48900</v>
      </c>
      <c r="Y95" s="305">
        <f>X95/W95</f>
        <v>0.66530612244897958</v>
      </c>
      <c r="Z95" s="309">
        <f>Y96*U96</f>
        <v>145366.21823617342</v>
      </c>
      <c r="AA95" s="287">
        <f>(W96/Z95)*1000</f>
        <v>46.021696658097682</v>
      </c>
      <c r="AB95" s="307">
        <f>(X96/Z95)*1000</f>
        <v>26.759999999999994</v>
      </c>
      <c r="AC95" s="149">
        <f>Z95/4/('MK Segmentation'!$A$4)*Y96</f>
        <v>1.2752768499871331E-3</v>
      </c>
    </row>
    <row r="96" spans="1:29" ht="16">
      <c r="A96" s="993" t="s">
        <v>223</v>
      </c>
      <c r="B96" s="910"/>
      <c r="C96" s="910"/>
      <c r="D96" s="910"/>
      <c r="E96" s="910"/>
      <c r="F96" s="910"/>
      <c r="G96" s="910"/>
      <c r="H96" s="910"/>
      <c r="I96" s="910"/>
      <c r="J96" s="910"/>
      <c r="K96" s="910"/>
      <c r="L96" s="910"/>
      <c r="M96" s="910"/>
      <c r="N96" s="915"/>
      <c r="O96" s="915"/>
      <c r="P96" s="1312"/>
      <c r="Q96" s="1312"/>
      <c r="R96" s="1313"/>
      <c r="S96" s="933"/>
      <c r="T96" s="308" t="s">
        <v>326</v>
      </c>
      <c r="U96" s="1558">
        <v>250000</v>
      </c>
      <c r="V96" s="1565">
        <f>0.96*0.74</f>
        <v>0.71039999999999992</v>
      </c>
      <c r="W96" s="1559">
        <v>6690</v>
      </c>
      <c r="X96" s="1559">
        <v>3890</v>
      </c>
      <c r="Y96" s="305">
        <f>X96/W96</f>
        <v>0.58146487294469362</v>
      </c>
      <c r="Z96" s="309">
        <f>Y97*U97</f>
        <v>293804.34782608697</v>
      </c>
      <c r="AA96" s="287">
        <f>(W97/Z96)*1000</f>
        <v>62.626711061783205</v>
      </c>
      <c r="AB96" s="307">
        <f>(X97/Z96)*1000</f>
        <v>36.078431372549019</v>
      </c>
      <c r="AC96" s="149">
        <f>Z96/4/('MK Segmentation'!$A$4)*Y97</f>
        <v>2.5536640397100917E-3</v>
      </c>
    </row>
    <row r="97" spans="1:29" ht="16">
      <c r="A97" s="1190" t="s">
        <v>224</v>
      </c>
      <c r="B97" s="910"/>
      <c r="C97" s="910"/>
      <c r="D97" s="910"/>
      <c r="E97" s="910"/>
      <c r="F97" s="910"/>
      <c r="G97" s="910"/>
      <c r="H97" s="910"/>
      <c r="I97" s="910"/>
      <c r="J97" s="910"/>
      <c r="K97" s="910"/>
      <c r="L97" s="910"/>
      <c r="M97" s="910"/>
      <c r="N97" s="915"/>
      <c r="O97" s="915"/>
      <c r="P97" s="1312"/>
      <c r="Q97" s="1312"/>
      <c r="R97" s="1313"/>
      <c r="S97" s="265"/>
      <c r="T97" s="308" t="s">
        <v>327</v>
      </c>
      <c r="U97" s="1560" t="s">
        <v>328</v>
      </c>
      <c r="V97" s="1565">
        <f>0.7*0.74</f>
        <v>0.51800000000000002</v>
      </c>
      <c r="W97" s="1559">
        <v>18400</v>
      </c>
      <c r="X97" s="1559">
        <v>10600</v>
      </c>
      <c r="Y97" s="305">
        <f>X97/W97</f>
        <v>0.57608695652173914</v>
      </c>
      <c r="Z97" s="310">
        <f>Y98*U98</f>
        <v>156869.41008563273</v>
      </c>
      <c r="AA97" s="287">
        <f>(W98/Z97)*1000</f>
        <v>66.998403285017417</v>
      </c>
      <c r="AB97" s="307">
        <f>(X98/Z97)*1000</f>
        <v>38.853974121996302</v>
      </c>
      <c r="AC97" s="149">
        <f>Z97/4/('MK Segmentation'!$A$4)*Y98</f>
        <v>1.3725455230325393E-3</v>
      </c>
    </row>
    <row r="98" spans="1:29" ht="17">
      <c r="A98" s="1191" t="s">
        <v>306</v>
      </c>
      <c r="B98" s="910"/>
      <c r="C98" s="910"/>
      <c r="D98" s="910"/>
      <c r="E98" s="910"/>
      <c r="F98" s="910"/>
      <c r="G98" s="910"/>
      <c r="H98" s="910"/>
      <c r="I98" s="910"/>
      <c r="J98" s="910"/>
      <c r="K98" s="910"/>
      <c r="L98" s="910"/>
      <c r="M98" s="910"/>
      <c r="N98" s="920">
        <f>SUM(N99:N102)</f>
        <v>94085</v>
      </c>
      <c r="O98" s="915"/>
      <c r="P98" s="921">
        <f>SUM(P99:P102)</f>
        <v>1.6199999999999999E-2</v>
      </c>
      <c r="Q98" s="921" t="e">
        <f>SUM(Q99:Q102)</f>
        <v>#REF!</v>
      </c>
      <c r="R98" s="1229">
        <f>SUM(R99:R102)</f>
        <v>2.6280889809574316E-2</v>
      </c>
      <c r="S98" s="265"/>
      <c r="T98" s="308" t="s">
        <v>329</v>
      </c>
      <c r="U98" s="1558">
        <v>270500</v>
      </c>
      <c r="V98" s="1565">
        <f>0.96*0.74</f>
        <v>0.71039999999999992</v>
      </c>
      <c r="W98" s="1559">
        <v>10510</v>
      </c>
      <c r="X98" s="1559">
        <v>6095</v>
      </c>
      <c r="Y98" s="305">
        <f>X98/W98</f>
        <v>0.57992388201712652</v>
      </c>
      <c r="Z98" s="3"/>
      <c r="AA98" s="3"/>
      <c r="AB98" s="3"/>
      <c r="AC98" s="311">
        <f>SUM(AC94:AC97)</f>
        <v>2.6280889809574316E-2</v>
      </c>
    </row>
    <row r="99" spans="1:29" ht="17">
      <c r="A99" s="1212" t="s">
        <v>307</v>
      </c>
      <c r="B99" s="910"/>
      <c r="C99" s="910"/>
      <c r="D99" s="1227"/>
      <c r="E99" s="910"/>
      <c r="F99" s="910"/>
      <c r="G99" s="1227"/>
      <c r="H99" s="910"/>
      <c r="I99" s="910"/>
      <c r="J99" s="1227"/>
      <c r="K99" s="910"/>
      <c r="L99" s="910"/>
      <c r="M99" s="1227"/>
      <c r="N99" s="916">
        <f>W95</f>
        <v>73500</v>
      </c>
      <c r="O99" s="916">
        <v>53</v>
      </c>
      <c r="P99" s="921">
        <v>1.1299999999999999E-2</v>
      </c>
      <c r="Q99" s="921" t="e">
        <f t="shared" ref="Q99:Q102" si="0">#REF!</f>
        <v>#REF!</v>
      </c>
      <c r="R99" s="1334">
        <f>AC94</f>
        <v>2.1079403396844554E-2</v>
      </c>
      <c r="S99" s="265"/>
      <c r="T99" s="3"/>
      <c r="U99" s="3"/>
      <c r="V99" s="3"/>
      <c r="W99" s="3"/>
      <c r="X99" s="3"/>
      <c r="Y99" s="3"/>
    </row>
    <row r="100" spans="1:29" ht="17">
      <c r="A100" s="1212" t="s">
        <v>308</v>
      </c>
      <c r="B100" s="1227"/>
      <c r="C100" s="910"/>
      <c r="D100" s="1227"/>
      <c r="E100" s="910"/>
      <c r="F100" s="1227"/>
      <c r="G100" s="910"/>
      <c r="H100" s="1227"/>
      <c r="I100" s="910"/>
      <c r="J100" s="1227"/>
      <c r="K100" s="910"/>
      <c r="L100" s="1227"/>
      <c r="M100" s="910"/>
      <c r="N100" s="916">
        <f>X96</f>
        <v>3890</v>
      </c>
      <c r="O100" s="916">
        <v>27</v>
      </c>
      <c r="P100" s="921">
        <v>1.1999999999999999E-3</v>
      </c>
      <c r="Q100" s="921" t="e">
        <f t="shared" si="0"/>
        <v>#REF!</v>
      </c>
      <c r="R100" s="1334">
        <f>AC95</f>
        <v>1.2752768499871331E-3</v>
      </c>
      <c r="S100" s="265"/>
      <c r="T100" s="3"/>
      <c r="U100" s="3"/>
      <c r="V100" s="3"/>
      <c r="W100" s="3"/>
      <c r="X100" s="3"/>
      <c r="Y100" s="3"/>
    </row>
    <row r="101" spans="1:29" ht="34">
      <c r="A101" s="1212" t="s">
        <v>309</v>
      </c>
      <c r="B101" s="1227"/>
      <c r="C101" s="910"/>
      <c r="D101" s="1227"/>
      <c r="E101" s="910"/>
      <c r="F101" s="1227"/>
      <c r="G101" s="910"/>
      <c r="H101" s="1227"/>
      <c r="I101" s="910"/>
      <c r="J101" s="1227"/>
      <c r="K101" s="910"/>
      <c r="L101" s="1227"/>
      <c r="M101" s="910"/>
      <c r="N101" s="916">
        <f>X97</f>
        <v>10600</v>
      </c>
      <c r="O101" s="916">
        <v>36</v>
      </c>
      <c r="P101" s="921">
        <v>2.3999999999999998E-3</v>
      </c>
      <c r="Q101" s="921" t="e">
        <f t="shared" si="0"/>
        <v>#REF!</v>
      </c>
      <c r="R101" s="1334">
        <f>AC96</f>
        <v>2.5536640397100917E-3</v>
      </c>
      <c r="S101" s="265"/>
      <c r="T101" s="279" t="s">
        <v>283</v>
      </c>
      <c r="U101" s="282" t="s">
        <v>284</v>
      </c>
      <c r="V101" s="282" t="s">
        <v>285</v>
      </c>
      <c r="W101" s="282" t="s">
        <v>286</v>
      </c>
      <c r="X101" s="281" t="s">
        <v>287</v>
      </c>
      <c r="Y101" s="281" t="s">
        <v>288</v>
      </c>
    </row>
    <row r="102" spans="1:29" ht="17">
      <c r="A102" s="1212" t="s">
        <v>310</v>
      </c>
      <c r="B102" s="1227"/>
      <c r="C102" s="910"/>
      <c r="D102" s="1227"/>
      <c r="E102" s="910"/>
      <c r="F102" s="1227"/>
      <c r="G102" s="910"/>
      <c r="H102" s="1227"/>
      <c r="I102" s="910"/>
      <c r="J102" s="1227"/>
      <c r="K102" s="910"/>
      <c r="L102" s="1227"/>
      <c r="M102" s="910"/>
      <c r="N102" s="916">
        <f>X98</f>
        <v>6095</v>
      </c>
      <c r="O102" s="916">
        <v>39</v>
      </c>
      <c r="P102" s="921">
        <v>1.2999999999999999E-3</v>
      </c>
      <c r="Q102" s="921" t="e">
        <f t="shared" si="0"/>
        <v>#REF!</v>
      </c>
      <c r="R102" s="1334">
        <f>AC97</f>
        <v>1.3725455230325393E-3</v>
      </c>
      <c r="S102" s="265"/>
      <c r="T102" s="284" t="s">
        <v>291</v>
      </c>
      <c r="U102" s="1557">
        <v>4000</v>
      </c>
      <c r="V102" s="1557">
        <v>4000</v>
      </c>
      <c r="W102" s="1557">
        <v>4000</v>
      </c>
      <c r="X102" s="1557">
        <v>4000</v>
      </c>
      <c r="Y102" s="1557">
        <v>4000</v>
      </c>
    </row>
    <row r="103" spans="1:29" ht="17">
      <c r="A103" s="1192" t="s">
        <v>226</v>
      </c>
      <c r="B103" s="910"/>
      <c r="C103" s="910"/>
      <c r="D103" s="910"/>
      <c r="E103" s="910"/>
      <c r="F103" s="910"/>
      <c r="G103" s="910"/>
      <c r="H103" s="910"/>
      <c r="I103" s="910"/>
      <c r="J103" s="910"/>
      <c r="K103" s="910"/>
      <c r="L103" s="910"/>
      <c r="M103" s="910"/>
      <c r="N103" s="1335">
        <v>42960</v>
      </c>
      <c r="O103" s="915"/>
      <c r="P103" s="921">
        <f>'MK IMC Schedule Y1-Y5'!P99*1.67</f>
        <v>1.8870999999999999E-2</v>
      </c>
      <c r="Q103" s="921" t="e">
        <f>'MK IMC Schedule Y1-Y5'!Q99*1.67</f>
        <v>#REF!</v>
      </c>
      <c r="R103" s="1229">
        <f>R9*1.67</f>
        <v>4.3045919999999994E-2</v>
      </c>
      <c r="S103" s="238" t="s">
        <v>311</v>
      </c>
      <c r="T103" s="284" t="s">
        <v>294</v>
      </c>
      <c r="U103" s="1557">
        <v>5000</v>
      </c>
      <c r="V103" s="294"/>
      <c r="W103" s="293"/>
      <c r="X103" s="294"/>
      <c r="Y103" s="295"/>
    </row>
    <row r="104" spans="1:29" ht="17">
      <c r="A104" s="1194" t="s">
        <v>256</v>
      </c>
      <c r="B104" s="910"/>
      <c r="C104" s="910"/>
      <c r="D104" s="910"/>
      <c r="E104" s="910"/>
      <c r="F104" s="1195"/>
      <c r="G104" s="910"/>
      <c r="H104" s="910"/>
      <c r="I104" s="910"/>
      <c r="J104" s="910"/>
      <c r="K104" s="910"/>
      <c r="L104" s="910"/>
      <c r="M104" s="1195"/>
      <c r="N104" s="1323"/>
      <c r="O104" s="915"/>
      <c r="P104" s="1312"/>
      <c r="Q104" s="1312"/>
      <c r="R104" s="1313"/>
      <c r="S104" s="265"/>
      <c r="T104" s="284" t="s">
        <v>296</v>
      </c>
      <c r="U104" s="1557">
        <v>4000</v>
      </c>
      <c r="V104" s="1557">
        <v>4000</v>
      </c>
      <c r="W104" s="1557">
        <v>4000</v>
      </c>
      <c r="X104" s="1557">
        <v>4000</v>
      </c>
      <c r="Y104" s="1557">
        <v>4000</v>
      </c>
    </row>
    <row r="105" spans="1:29" ht="17">
      <c r="A105" s="1194" t="s">
        <v>257</v>
      </c>
      <c r="B105" s="910"/>
      <c r="C105" s="1195"/>
      <c r="D105" s="910"/>
      <c r="E105" s="910"/>
      <c r="F105" s="910"/>
      <c r="G105" s="910"/>
      <c r="H105" s="910"/>
      <c r="I105" s="910"/>
      <c r="J105" s="910"/>
      <c r="K105" s="910"/>
      <c r="L105" s="1195"/>
      <c r="M105" s="910"/>
      <c r="N105" s="1323"/>
      <c r="O105" s="915"/>
      <c r="P105" s="1315"/>
      <c r="Q105" s="1315"/>
      <c r="R105" s="1313"/>
      <c r="S105" s="265"/>
      <c r="T105" s="282" t="s">
        <v>298</v>
      </c>
      <c r="U105" s="287"/>
      <c r="V105" s="285"/>
      <c r="W105" s="288"/>
      <c r="X105" s="285"/>
      <c r="Y105" s="288">
        <f>SUM(U102:Y104)</f>
        <v>45000</v>
      </c>
    </row>
    <row r="106" spans="1:29" ht="17">
      <c r="A106" s="1194" t="s">
        <v>258</v>
      </c>
      <c r="B106" s="910"/>
      <c r="C106" s="910"/>
      <c r="D106" s="910"/>
      <c r="E106" s="910"/>
      <c r="F106" s="910"/>
      <c r="G106" s="910"/>
      <c r="H106" s="910"/>
      <c r="I106" s="1195"/>
      <c r="J106" s="910"/>
      <c r="K106" s="910"/>
      <c r="L106" s="910"/>
      <c r="M106" s="910"/>
      <c r="N106" s="1323"/>
      <c r="O106" s="915"/>
      <c r="P106" s="1315"/>
      <c r="Q106" s="1315"/>
      <c r="R106" s="1313"/>
      <c r="S106" s="265"/>
      <c r="T106" s="265"/>
    </row>
    <row r="107" spans="1:29" ht="17">
      <c r="A107" s="1194" t="s">
        <v>259</v>
      </c>
      <c r="B107" s="910"/>
      <c r="C107" s="910"/>
      <c r="D107" s="910"/>
      <c r="E107" s="910"/>
      <c r="F107" s="910"/>
      <c r="G107" s="910"/>
      <c r="H107" s="910"/>
      <c r="I107" s="910"/>
      <c r="J107" s="1195"/>
      <c r="K107" s="910"/>
      <c r="L107" s="910"/>
      <c r="M107" s="910"/>
      <c r="N107" s="1323"/>
      <c r="O107" s="915"/>
      <c r="P107" s="1315"/>
      <c r="Q107" s="1315"/>
      <c r="R107" s="1313"/>
      <c r="S107" s="265"/>
      <c r="T107" s="265"/>
      <c r="V107" s="296"/>
    </row>
    <row r="108" spans="1:29" ht="17">
      <c r="A108" s="1194" t="s">
        <v>260</v>
      </c>
      <c r="B108" s="910"/>
      <c r="C108" s="910"/>
      <c r="D108" s="1195"/>
      <c r="E108" s="910"/>
      <c r="F108" s="910"/>
      <c r="G108" s="910"/>
      <c r="H108" s="910"/>
      <c r="I108" s="910"/>
      <c r="J108" s="910"/>
      <c r="K108" s="910"/>
      <c r="L108" s="910"/>
      <c r="M108" s="910"/>
      <c r="N108" s="1323"/>
      <c r="O108" s="915"/>
      <c r="P108" s="1315"/>
      <c r="Q108" s="1315"/>
      <c r="R108" s="1313"/>
      <c r="S108" s="265"/>
      <c r="T108" s="265"/>
    </row>
    <row r="109" spans="1:29" ht="17">
      <c r="A109" s="1194" t="s">
        <v>261</v>
      </c>
      <c r="B109" s="910"/>
      <c r="C109" s="910"/>
      <c r="D109" s="910"/>
      <c r="E109" s="910"/>
      <c r="F109" s="1195"/>
      <c r="G109" s="910"/>
      <c r="H109" s="910"/>
      <c r="I109" s="910"/>
      <c r="J109" s="910"/>
      <c r="K109" s="910"/>
      <c r="L109" s="910"/>
      <c r="M109" s="910"/>
      <c r="N109" s="1323"/>
      <c r="O109" s="915"/>
      <c r="P109" s="1315"/>
      <c r="Q109" s="1315"/>
      <c r="R109" s="1313"/>
      <c r="S109" s="265"/>
      <c r="T109" s="265"/>
    </row>
    <row r="110" spans="1:29" ht="17">
      <c r="A110" s="1194" t="s">
        <v>262</v>
      </c>
      <c r="B110" s="910"/>
      <c r="C110" s="910"/>
      <c r="D110" s="910"/>
      <c r="E110" s="910"/>
      <c r="F110" s="910"/>
      <c r="G110" s="910"/>
      <c r="H110" s="1195"/>
      <c r="I110" s="910"/>
      <c r="J110" s="910"/>
      <c r="K110" s="910"/>
      <c r="L110" s="910"/>
      <c r="M110" s="910"/>
      <c r="N110" s="1323"/>
      <c r="O110" s="915"/>
      <c r="P110" s="1315"/>
      <c r="Q110" s="1315"/>
      <c r="R110" s="1313"/>
      <c r="S110" s="265"/>
    </row>
    <row r="111" spans="1:29" ht="17">
      <c r="A111" s="1194" t="s">
        <v>263</v>
      </c>
      <c r="B111" s="910"/>
      <c r="C111" s="910"/>
      <c r="D111" s="910"/>
      <c r="E111" s="910"/>
      <c r="F111" s="910"/>
      <c r="G111" s="910"/>
      <c r="H111" s="910"/>
      <c r="I111" s="910"/>
      <c r="J111" s="910"/>
      <c r="K111" s="1195"/>
      <c r="L111" s="910"/>
      <c r="M111" s="910"/>
      <c r="N111" s="1323"/>
      <c r="O111" s="915"/>
      <c r="P111" s="1315"/>
      <c r="Q111" s="1315"/>
      <c r="R111" s="1313"/>
      <c r="S111" s="265"/>
    </row>
    <row r="112" spans="1:29" ht="16">
      <c r="A112" s="1192" t="s">
        <v>312</v>
      </c>
      <c r="B112" s="911"/>
      <c r="C112" s="911"/>
      <c r="D112" s="911"/>
      <c r="E112" s="911"/>
      <c r="F112" s="911"/>
      <c r="G112" s="911"/>
      <c r="H112" s="911"/>
      <c r="I112" s="911"/>
      <c r="J112" s="911"/>
      <c r="K112" s="911"/>
      <c r="L112" s="911"/>
      <c r="M112" s="911"/>
      <c r="N112" s="920">
        <f>0.25*159044</f>
        <v>39761</v>
      </c>
      <c r="O112" s="915"/>
      <c r="P112" s="921">
        <v>0.06</v>
      </c>
      <c r="Q112" s="921">
        <v>0.06</v>
      </c>
      <c r="R112" s="1229">
        <v>0.06</v>
      </c>
      <c r="S112" s="265"/>
    </row>
    <row r="113" spans="1:29" ht="17">
      <c r="A113" s="1198" t="s">
        <v>313</v>
      </c>
      <c r="B113" s="910"/>
      <c r="C113" s="910"/>
      <c r="D113" s="910"/>
      <c r="E113" s="910"/>
      <c r="F113" s="910"/>
      <c r="G113" s="910"/>
      <c r="H113" s="1223"/>
      <c r="I113" s="1223"/>
      <c r="J113" s="910"/>
      <c r="K113" s="910"/>
      <c r="L113" s="910"/>
      <c r="M113" s="910"/>
      <c r="N113" s="920">
        <v>6200</v>
      </c>
      <c r="O113" s="915"/>
      <c r="P113" s="921">
        <v>7.4999999999999997E-3</v>
      </c>
      <c r="Q113" s="921">
        <v>2.5000000000000001E-3</v>
      </c>
      <c r="R113" s="1229">
        <v>0.01</v>
      </c>
      <c r="S113" s="265"/>
    </row>
    <row r="114" spans="1:29" ht="17">
      <c r="A114" s="1198" t="s">
        <v>264</v>
      </c>
      <c r="B114" s="910"/>
      <c r="C114" s="910"/>
      <c r="D114" s="910"/>
      <c r="E114" s="910"/>
      <c r="F114" s="910"/>
      <c r="G114" s="910"/>
      <c r="H114" s="910"/>
      <c r="I114" s="910"/>
      <c r="J114" s="910"/>
      <c r="K114" s="910"/>
      <c r="L114" s="910"/>
      <c r="M114" s="910"/>
      <c r="N114" s="920">
        <v>11069</v>
      </c>
      <c r="O114" s="915"/>
      <c r="P114" s="1312"/>
      <c r="Q114" s="1312"/>
      <c r="R114" s="1313"/>
      <c r="S114" s="265"/>
    </row>
    <row r="115" spans="1:29" ht="16">
      <c r="A115" s="1190" t="s">
        <v>229</v>
      </c>
      <c r="B115" s="910"/>
      <c r="C115" s="910"/>
      <c r="D115" s="910"/>
      <c r="E115" s="910"/>
      <c r="F115" s="910"/>
      <c r="G115" s="910"/>
      <c r="H115" s="910"/>
      <c r="I115" s="910"/>
      <c r="J115" s="910"/>
      <c r="K115" s="910"/>
      <c r="L115" s="910"/>
      <c r="M115" s="910"/>
      <c r="N115" s="920"/>
      <c r="O115" s="915"/>
      <c r="P115" s="921"/>
      <c r="Q115" s="921"/>
      <c r="R115" s="1334"/>
      <c r="S115" s="265"/>
    </row>
    <row r="116" spans="1:29" ht="17">
      <c r="A116" s="1198" t="s">
        <v>230</v>
      </c>
      <c r="B116" s="910"/>
      <c r="C116" s="910"/>
      <c r="D116" s="910"/>
      <c r="E116" s="910"/>
      <c r="F116" s="910"/>
      <c r="G116" s="910"/>
      <c r="H116" s="910"/>
      <c r="I116" s="910"/>
      <c r="J116" s="910"/>
      <c r="K116" s="910"/>
      <c r="L116" s="910"/>
      <c r="M116" s="910"/>
      <c r="N116" s="920">
        <v>20000</v>
      </c>
      <c r="O116" s="915"/>
      <c r="P116" s="921">
        <v>0.01</v>
      </c>
      <c r="Q116" s="921">
        <v>0.01</v>
      </c>
      <c r="R116" s="1229">
        <v>0.02</v>
      </c>
      <c r="S116" s="265"/>
    </row>
    <row r="117" spans="1:29" ht="34">
      <c r="A117" s="1194" t="s">
        <v>265</v>
      </c>
      <c r="B117" s="1199"/>
      <c r="C117" s="910"/>
      <c r="D117" s="1199"/>
      <c r="E117" s="910"/>
      <c r="F117" s="1200"/>
      <c r="G117" s="1199"/>
      <c r="H117" s="1199"/>
      <c r="I117" s="910"/>
      <c r="J117" s="1199"/>
      <c r="K117" s="910"/>
      <c r="L117" s="1199"/>
      <c r="M117" s="1199"/>
      <c r="N117" s="915"/>
      <c r="O117" s="915"/>
      <c r="P117" s="1312"/>
      <c r="Q117" s="1312"/>
      <c r="R117" s="1313"/>
      <c r="S117" s="265"/>
    </row>
    <row r="118" spans="1:29" ht="51">
      <c r="A118" s="1194" t="s">
        <v>266</v>
      </c>
      <c r="B118" s="910"/>
      <c r="C118" s="910"/>
      <c r="D118" s="910"/>
      <c r="E118" s="1199"/>
      <c r="F118" s="1199"/>
      <c r="G118" s="1199"/>
      <c r="H118" s="910"/>
      <c r="I118" s="910"/>
      <c r="J118" s="910"/>
      <c r="K118" s="1199"/>
      <c r="L118" s="1199"/>
      <c r="M118" s="1199"/>
      <c r="N118" s="915"/>
      <c r="O118" s="915"/>
      <c r="P118" s="1312"/>
      <c r="Q118" s="1312"/>
      <c r="R118" s="1313"/>
      <c r="S118" s="265"/>
    </row>
    <row r="119" spans="1:29" ht="16">
      <c r="A119" s="1192" t="s">
        <v>304</v>
      </c>
      <c r="B119" s="1223"/>
      <c r="C119" s="1223"/>
      <c r="D119" s="1223"/>
      <c r="E119" s="1223"/>
      <c r="F119" s="1223"/>
      <c r="G119" s="1223"/>
      <c r="H119" s="1223"/>
      <c r="I119" s="1223"/>
      <c r="J119" s="1223"/>
      <c r="K119" s="1223"/>
      <c r="L119" s="1223"/>
      <c r="M119" s="1223"/>
      <c r="N119" s="920"/>
      <c r="O119" s="915"/>
      <c r="P119" s="921">
        <v>2.5000000000000001E-3</v>
      </c>
      <c r="Q119" s="921">
        <v>2.5000000000000001E-3</v>
      </c>
      <c r="R119" s="1229">
        <v>2.2000000000000001E-3</v>
      </c>
      <c r="S119" s="265"/>
    </row>
    <row r="120" spans="1:29" ht="17">
      <c r="A120" s="1198" t="s">
        <v>232</v>
      </c>
      <c r="B120" s="910"/>
      <c r="C120" s="910"/>
      <c r="D120" s="910"/>
      <c r="E120" s="910"/>
      <c r="F120" s="910"/>
      <c r="G120" s="910"/>
      <c r="H120" s="910"/>
      <c r="I120" s="910"/>
      <c r="J120" s="910"/>
      <c r="K120" s="910"/>
      <c r="L120" s="910"/>
      <c r="M120" s="910"/>
      <c r="N120" s="920"/>
      <c r="O120" s="915"/>
      <c r="P120" s="1312"/>
      <c r="Q120" s="1312"/>
      <c r="R120" s="1229">
        <v>0.02</v>
      </c>
      <c r="S120" s="265"/>
      <c r="Z120" s="3"/>
      <c r="AA120" s="3"/>
      <c r="AB120" s="3"/>
      <c r="AC120" s="3"/>
    </row>
    <row r="121" spans="1:29" ht="16">
      <c r="A121" s="1190" t="s">
        <v>233</v>
      </c>
      <c r="B121" s="910"/>
      <c r="C121" s="910"/>
      <c r="D121" s="910"/>
      <c r="E121" s="910"/>
      <c r="F121" s="910"/>
      <c r="G121" s="910"/>
      <c r="H121" s="910"/>
      <c r="I121" s="910"/>
      <c r="J121" s="910"/>
      <c r="K121" s="910"/>
      <c r="L121" s="910"/>
      <c r="M121" s="910"/>
      <c r="N121" s="920"/>
      <c r="O121" s="915"/>
      <c r="P121" s="921"/>
      <c r="Q121" s="921"/>
      <c r="R121" s="1334"/>
      <c r="S121" s="265"/>
      <c r="Z121" s="3"/>
      <c r="AA121" s="3"/>
      <c r="AB121" s="3"/>
      <c r="AC121" s="44"/>
    </row>
    <row r="122" spans="1:29" ht="16">
      <c r="A122" s="1192" t="s">
        <v>234</v>
      </c>
      <c r="B122" s="911"/>
      <c r="C122" s="911"/>
      <c r="D122" s="911"/>
      <c r="E122" s="911"/>
      <c r="F122" s="911"/>
      <c r="G122" s="911"/>
      <c r="H122" s="911"/>
      <c r="I122" s="911"/>
      <c r="J122" s="911"/>
      <c r="K122" s="911"/>
      <c r="L122" s="911"/>
      <c r="M122" s="911"/>
      <c r="N122" s="920">
        <v>11250</v>
      </c>
      <c r="O122" s="915"/>
      <c r="P122" s="921">
        <v>5.0000000000000001E-3</v>
      </c>
      <c r="Q122" s="921">
        <v>5.0000000000000001E-3</v>
      </c>
      <c r="R122" s="1229">
        <v>0.03</v>
      </c>
      <c r="S122" s="265"/>
      <c r="T122" s="265"/>
      <c r="Z122" s="3"/>
      <c r="AA122" s="3"/>
      <c r="AB122" s="3"/>
      <c r="AC122" s="3"/>
    </row>
    <row r="123" spans="1:29" s="903" customFormat="1" ht="16">
      <c r="A123" s="1192" t="s">
        <v>267</v>
      </c>
      <c r="B123" s="911"/>
      <c r="C123" s="911"/>
      <c r="D123" s="911"/>
      <c r="E123" s="911"/>
      <c r="F123" s="911"/>
      <c r="G123" s="911"/>
      <c r="H123" s="911"/>
      <c r="I123" s="911"/>
      <c r="J123" s="911"/>
      <c r="K123" s="911"/>
      <c r="L123" s="911"/>
      <c r="M123" s="911"/>
      <c r="N123" s="920">
        <v>1500</v>
      </c>
      <c r="O123" s="915"/>
      <c r="P123" s="921">
        <v>0</v>
      </c>
      <c r="Q123" s="921">
        <v>0</v>
      </c>
      <c r="R123" s="1229">
        <v>0</v>
      </c>
      <c r="S123" s="265"/>
      <c r="T123" s="265"/>
      <c r="Z123" s="904"/>
      <c r="AA123" s="904"/>
      <c r="AB123" s="904"/>
      <c r="AC123" s="904"/>
    </row>
    <row r="124" spans="1:29" s="903" customFormat="1" ht="16">
      <c r="A124" s="1190" t="s">
        <v>914</v>
      </c>
      <c r="B124" s="915"/>
      <c r="C124" s="915"/>
      <c r="D124" s="915"/>
      <c r="E124" s="915"/>
      <c r="F124" s="915"/>
      <c r="G124" s="915"/>
      <c r="H124" s="915"/>
      <c r="I124" s="915"/>
      <c r="J124" s="915"/>
      <c r="K124" s="915"/>
      <c r="L124" s="915"/>
      <c r="M124" s="915"/>
      <c r="N124" s="920"/>
      <c r="O124" s="915"/>
      <c r="P124" s="921"/>
      <c r="Q124" s="921"/>
      <c r="R124" s="1229"/>
      <c r="S124" s="265"/>
      <c r="T124" s="265"/>
      <c r="Z124" s="904"/>
      <c r="AA124" s="904"/>
      <c r="AB124" s="904"/>
      <c r="AC124" s="904"/>
    </row>
    <row r="125" spans="1:29" ht="16">
      <c r="A125" s="1202" t="s">
        <v>913</v>
      </c>
      <c r="B125" s="913"/>
      <c r="C125" s="913"/>
      <c r="D125" s="913"/>
      <c r="E125" s="913"/>
      <c r="F125" s="913"/>
      <c r="G125" s="913"/>
      <c r="H125" s="913"/>
      <c r="I125" s="913"/>
      <c r="J125" s="913"/>
      <c r="K125" s="913"/>
      <c r="L125" s="913"/>
      <c r="M125" s="913"/>
      <c r="N125" s="918">
        <f>1*'MK Bases Model (Base Case)'!D16</f>
        <v>44086.151570867165</v>
      </c>
      <c r="O125" s="914"/>
      <c r="P125" s="914"/>
      <c r="Q125" s="914"/>
      <c r="R125" s="1203"/>
      <c r="S125" s="265"/>
      <c r="T125" s="265"/>
      <c r="Z125" s="3"/>
      <c r="AA125" s="3"/>
      <c r="AB125" s="3"/>
      <c r="AC125" s="3"/>
    </row>
    <row r="126" spans="1:29" ht="16">
      <c r="A126" s="1190" t="s">
        <v>268</v>
      </c>
      <c r="B126" s="910"/>
      <c r="C126" s="910"/>
      <c r="D126" s="910"/>
      <c r="E126" s="910"/>
      <c r="F126" s="910"/>
      <c r="G126" s="910"/>
      <c r="H126" s="910"/>
      <c r="I126" s="910"/>
      <c r="J126" s="910"/>
      <c r="K126" s="910"/>
      <c r="L126" s="910"/>
      <c r="M126" s="910"/>
      <c r="N126" s="1336">
        <f>SUM(N99:N125)</f>
        <v>270911.15157086716</v>
      </c>
      <c r="O126" s="1319">
        <f>SUM(O98:O124)</f>
        <v>155</v>
      </c>
      <c r="P126" s="1320">
        <f>SUM(P99:P124)</f>
        <v>0.120071</v>
      </c>
      <c r="Q126" s="1320" t="e">
        <f>SUM(Q99:Q124)</f>
        <v>#REF!</v>
      </c>
      <c r="R126" s="1322">
        <f>SUM(R98,R103:R124)</f>
        <v>0.21152680980957431</v>
      </c>
      <c r="S126" s="265"/>
      <c r="Z126" s="3"/>
      <c r="AA126" s="3"/>
      <c r="AB126" s="3"/>
      <c r="AC126" s="3"/>
    </row>
    <row r="127" spans="1:29" ht="16">
      <c r="A127" s="1208"/>
      <c r="B127" s="910"/>
      <c r="C127" s="910"/>
      <c r="D127" s="910"/>
      <c r="E127" s="910"/>
      <c r="F127" s="910"/>
      <c r="G127" s="910"/>
      <c r="H127" s="910"/>
      <c r="I127" s="910"/>
      <c r="J127" s="910"/>
      <c r="K127" s="910"/>
      <c r="L127" s="910"/>
      <c r="M127" s="910"/>
      <c r="N127" s="915"/>
      <c r="O127" s="915"/>
      <c r="P127" s="1312"/>
      <c r="Q127" s="1312"/>
      <c r="R127" s="1313"/>
      <c r="S127" s="265"/>
      <c r="Z127" s="3"/>
      <c r="AA127" s="3"/>
      <c r="AB127" s="3"/>
      <c r="AC127" s="312"/>
    </row>
    <row r="128" spans="1:29" ht="16">
      <c r="A128" s="993" t="s">
        <v>269</v>
      </c>
      <c r="B128" s="910"/>
      <c r="C128" s="910"/>
      <c r="D128" s="910"/>
      <c r="E128" s="910"/>
      <c r="F128" s="910"/>
      <c r="G128" s="910"/>
      <c r="H128" s="910"/>
      <c r="I128" s="910"/>
      <c r="J128" s="910"/>
      <c r="K128" s="910"/>
      <c r="L128" s="910"/>
      <c r="M128" s="910"/>
      <c r="N128" s="915"/>
      <c r="O128" s="915"/>
      <c r="P128" s="1312"/>
      <c r="Q128" s="1312"/>
      <c r="R128" s="1313"/>
      <c r="S128" s="265"/>
    </row>
    <row r="129" spans="1:29" ht="16">
      <c r="A129" s="1192" t="s">
        <v>270</v>
      </c>
      <c r="B129" s="910"/>
      <c r="C129" s="910"/>
      <c r="D129" s="910"/>
      <c r="E129" s="910"/>
      <c r="F129" s="910"/>
      <c r="G129" s="910"/>
      <c r="H129" s="910"/>
      <c r="I129" s="1196"/>
      <c r="J129" s="910"/>
      <c r="K129" s="910"/>
      <c r="L129" s="910"/>
      <c r="M129" s="910"/>
      <c r="N129" s="916">
        <v>45000</v>
      </c>
      <c r="O129" s="915"/>
      <c r="P129" s="1312"/>
      <c r="Q129" s="1312"/>
      <c r="R129" s="1313"/>
      <c r="S129" s="265"/>
    </row>
    <row r="130" spans="1:29" ht="16">
      <c r="A130" s="1209" t="s">
        <v>271</v>
      </c>
      <c r="B130" s="910"/>
      <c r="C130" s="910"/>
      <c r="D130" s="1210"/>
      <c r="E130" s="910"/>
      <c r="F130" s="910"/>
      <c r="G130" s="910"/>
      <c r="H130" s="910"/>
      <c r="I130" s="910"/>
      <c r="J130" s="910"/>
      <c r="K130" s="910"/>
      <c r="L130" s="910"/>
      <c r="M130" s="910"/>
      <c r="N130" s="1323"/>
      <c r="O130" s="915"/>
      <c r="P130" s="1312"/>
      <c r="Q130" s="1312"/>
      <c r="R130" s="1313"/>
      <c r="S130" s="265"/>
    </row>
    <row r="131" spans="1:29" ht="16">
      <c r="A131" s="1209" t="s">
        <v>272</v>
      </c>
      <c r="B131" s="910"/>
      <c r="C131" s="910"/>
      <c r="D131" s="910"/>
      <c r="E131" s="910"/>
      <c r="F131" s="910"/>
      <c r="G131" s="910"/>
      <c r="H131" s="910"/>
      <c r="I131" s="1210"/>
      <c r="J131" s="910"/>
      <c r="K131" s="910"/>
      <c r="L131" s="910"/>
      <c r="M131" s="910"/>
      <c r="N131" s="915"/>
      <c r="O131" s="915"/>
      <c r="P131" s="1312"/>
      <c r="Q131" s="1337"/>
      <c r="R131" s="1313"/>
      <c r="S131" s="265"/>
    </row>
    <row r="132" spans="1:29" ht="16">
      <c r="A132" s="1209" t="s">
        <v>273</v>
      </c>
      <c r="B132" s="910"/>
      <c r="C132" s="910"/>
      <c r="D132" s="910"/>
      <c r="E132" s="910"/>
      <c r="F132" s="910"/>
      <c r="G132" s="910"/>
      <c r="H132" s="910"/>
      <c r="I132" s="910"/>
      <c r="J132" s="910"/>
      <c r="K132" s="1210"/>
      <c r="L132" s="910"/>
      <c r="M132" s="910"/>
      <c r="N132" s="915"/>
      <c r="O132" s="915"/>
      <c r="P132" s="1312"/>
      <c r="Q132" s="1312"/>
      <c r="R132" s="1313"/>
      <c r="S132" s="265"/>
    </row>
    <row r="133" spans="1:29" ht="17">
      <c r="A133" s="1212" t="s">
        <v>274</v>
      </c>
      <c r="B133" s="910"/>
      <c r="C133" s="910"/>
      <c r="D133" s="910"/>
      <c r="E133" s="910"/>
      <c r="F133" s="910"/>
      <c r="G133" s="1213"/>
      <c r="H133" s="910"/>
      <c r="I133" s="910"/>
      <c r="J133" s="910"/>
      <c r="K133" s="910"/>
      <c r="L133" s="910"/>
      <c r="M133" s="910"/>
      <c r="N133" s="915"/>
      <c r="O133" s="915"/>
      <c r="P133" s="1312"/>
      <c r="Q133" s="1312"/>
      <c r="R133" s="1313"/>
      <c r="S133" s="265"/>
    </row>
    <row r="134" spans="1:29" ht="16">
      <c r="A134" s="1209" t="s">
        <v>275</v>
      </c>
      <c r="B134" s="910"/>
      <c r="C134" s="910"/>
      <c r="D134" s="910"/>
      <c r="E134" s="910"/>
      <c r="F134" s="910"/>
      <c r="G134" s="910"/>
      <c r="H134" s="1210"/>
      <c r="I134" s="910"/>
      <c r="J134" s="910"/>
      <c r="K134" s="910"/>
      <c r="L134" s="910"/>
      <c r="M134" s="910"/>
      <c r="N134" s="915"/>
      <c r="O134" s="915"/>
      <c r="P134" s="1312"/>
      <c r="Q134" s="1312"/>
      <c r="R134" s="1313"/>
      <c r="S134" s="265"/>
    </row>
    <row r="135" spans="1:29" ht="16">
      <c r="A135" s="1192" t="s">
        <v>276</v>
      </c>
      <c r="B135" s="910"/>
      <c r="C135" s="910"/>
      <c r="D135" s="910"/>
      <c r="E135" s="910"/>
      <c r="F135" s="910"/>
      <c r="G135" s="1214"/>
      <c r="H135" s="910"/>
      <c r="I135" s="910"/>
      <c r="J135" s="910"/>
      <c r="K135" s="910"/>
      <c r="L135" s="910"/>
      <c r="M135" s="910"/>
      <c r="N135" s="915"/>
      <c r="O135" s="915"/>
      <c r="P135" s="1312"/>
      <c r="Q135" s="1312"/>
      <c r="R135" s="1313"/>
      <c r="S135" s="265"/>
    </row>
    <row r="136" spans="1:29" ht="16">
      <c r="A136" s="1209" t="s">
        <v>314</v>
      </c>
      <c r="B136" s="910"/>
      <c r="C136" s="1210"/>
      <c r="D136" s="910"/>
      <c r="E136" s="910"/>
      <c r="F136" s="910"/>
      <c r="G136" s="910"/>
      <c r="H136" s="1210"/>
      <c r="I136" s="910"/>
      <c r="J136" s="1210"/>
      <c r="K136" s="910"/>
      <c r="L136" s="910"/>
      <c r="M136" s="910"/>
      <c r="N136" s="916">
        <f>2190*3</f>
        <v>6570</v>
      </c>
      <c r="O136" s="915"/>
      <c r="P136" s="1312"/>
      <c r="Q136" s="1312"/>
      <c r="R136" s="1313"/>
      <c r="S136" s="265"/>
    </row>
    <row r="137" spans="1:29" ht="16">
      <c r="A137" s="1215" t="s">
        <v>315</v>
      </c>
      <c r="B137" s="273"/>
      <c r="C137" s="276"/>
      <c r="D137" s="273"/>
      <c r="E137" s="273"/>
      <c r="F137" s="273"/>
      <c r="G137" s="273"/>
      <c r="H137" s="297"/>
      <c r="I137" s="273"/>
      <c r="J137" s="276"/>
      <c r="K137" s="273"/>
      <c r="L137" s="273"/>
      <c r="M137" s="273"/>
      <c r="N137" s="1324">
        <f>2755*3</f>
        <v>8265</v>
      </c>
      <c r="O137" s="1325"/>
      <c r="P137" s="1326"/>
      <c r="Q137" s="1326"/>
      <c r="R137" s="1327"/>
      <c r="S137" s="265"/>
    </row>
    <row r="138" spans="1:29" ht="16">
      <c r="A138" s="1190" t="s">
        <v>279</v>
      </c>
      <c r="B138" s="910"/>
      <c r="C138" s="910"/>
      <c r="D138" s="910"/>
      <c r="E138" s="910"/>
      <c r="F138" s="910"/>
      <c r="G138" s="910"/>
      <c r="H138" s="910"/>
      <c r="I138" s="910"/>
      <c r="J138" s="910"/>
      <c r="K138" s="910"/>
      <c r="L138" s="910"/>
      <c r="M138" s="910"/>
      <c r="N138" s="1318">
        <f>SUMPRODUCT(N129:N137)</f>
        <v>59835</v>
      </c>
      <c r="O138" s="915"/>
      <c r="P138" s="1312"/>
      <c r="Q138" s="1312"/>
      <c r="R138" s="1313"/>
      <c r="S138" s="265"/>
      <c r="T138" s="265"/>
    </row>
    <row r="139" spans="1:29" ht="16">
      <c r="A139" s="1208"/>
      <c r="B139" s="910"/>
      <c r="C139" s="910"/>
      <c r="D139" s="910"/>
      <c r="E139" s="910"/>
      <c r="F139" s="910"/>
      <c r="G139" s="910"/>
      <c r="H139" s="910"/>
      <c r="I139" s="910"/>
      <c r="J139" s="910"/>
      <c r="K139" s="910"/>
      <c r="L139" s="910"/>
      <c r="M139" s="910"/>
      <c r="N139" s="915"/>
      <c r="O139" s="915"/>
      <c r="P139" s="1312"/>
      <c r="Q139" s="1312"/>
      <c r="R139" s="1313"/>
      <c r="S139" s="265"/>
      <c r="T139" s="265"/>
    </row>
    <row r="140" spans="1:29" ht="17">
      <c r="A140" s="1217" t="s">
        <v>280</v>
      </c>
      <c r="B140" s="273"/>
      <c r="C140" s="273"/>
      <c r="D140" s="273"/>
      <c r="E140" s="273"/>
      <c r="F140" s="273"/>
      <c r="G140" s="273"/>
      <c r="H140" s="273"/>
      <c r="I140" s="273"/>
      <c r="J140" s="273"/>
      <c r="K140" s="273"/>
      <c r="L140" s="273"/>
      <c r="M140" s="273"/>
      <c r="N140" s="1328">
        <f>N138+N126</f>
        <v>330746.15157086716</v>
      </c>
      <c r="O140" s="1325"/>
      <c r="P140" s="1326"/>
      <c r="Q140" s="1326"/>
      <c r="R140" s="1327"/>
      <c r="S140" s="265"/>
      <c r="T140" s="265"/>
    </row>
    <row r="141" spans="1:29" ht="18" thickBot="1">
      <c r="A141" s="1218" t="s">
        <v>915</v>
      </c>
      <c r="B141" s="1219"/>
      <c r="C141" s="1219"/>
      <c r="D141" s="1219"/>
      <c r="E141" s="1219"/>
      <c r="F141" s="1219"/>
      <c r="G141" s="1219"/>
      <c r="H141" s="1219"/>
      <c r="I141" s="1219"/>
      <c r="J141" s="1219"/>
      <c r="K141" s="1219"/>
      <c r="L141" s="1219"/>
      <c r="M141" s="1219"/>
      <c r="N141" s="1329">
        <f>N140/'MK Bases Model (Base Case)'!D18</f>
        <v>4.4644498161059691E-2</v>
      </c>
      <c r="O141" s="1330"/>
      <c r="P141" s="1331"/>
      <c r="Q141" s="1331"/>
      <c r="R141" s="1332"/>
    </row>
    <row r="142" spans="1:29" ht="13"/>
    <row r="143" spans="1:29" ht="14" thickBot="1"/>
    <row r="144" spans="1:29" ht="52">
      <c r="A144" s="1184" t="s">
        <v>330</v>
      </c>
      <c r="B144" s="1185" t="s">
        <v>238</v>
      </c>
      <c r="C144" s="1185" t="s">
        <v>239</v>
      </c>
      <c r="D144" s="1185" t="s">
        <v>240</v>
      </c>
      <c r="E144" s="1185" t="s">
        <v>241</v>
      </c>
      <c r="F144" s="1185" t="s">
        <v>242</v>
      </c>
      <c r="G144" s="1185" t="s">
        <v>243</v>
      </c>
      <c r="H144" s="1185" t="s">
        <v>244</v>
      </c>
      <c r="I144" s="1185" t="s">
        <v>245</v>
      </c>
      <c r="J144" s="1185" t="s">
        <v>246</v>
      </c>
      <c r="K144" s="1185" t="s">
        <v>247</v>
      </c>
      <c r="L144" s="1185" t="s">
        <v>248</v>
      </c>
      <c r="M144" s="1185" t="s">
        <v>249</v>
      </c>
      <c r="N144" s="1185" t="s">
        <v>250</v>
      </c>
      <c r="O144" s="1185" t="s">
        <v>251</v>
      </c>
      <c r="P144" s="1186" t="s">
        <v>252</v>
      </c>
      <c r="Q144" s="1186" t="s">
        <v>253</v>
      </c>
      <c r="R144" s="1187" t="s">
        <v>254</v>
      </c>
      <c r="S144" s="932"/>
      <c r="T144" s="299" t="s">
        <v>316</v>
      </c>
      <c r="U144" s="300" t="s">
        <v>317</v>
      </c>
      <c r="V144" s="301" t="s">
        <v>318</v>
      </c>
      <c r="W144" s="301" t="s">
        <v>319</v>
      </c>
      <c r="X144" s="301" t="s">
        <v>320</v>
      </c>
      <c r="Y144" s="301" t="s">
        <v>4</v>
      </c>
      <c r="Z144" s="301" t="s">
        <v>321</v>
      </c>
      <c r="AA144" s="302" t="s">
        <v>322</v>
      </c>
      <c r="AB144" s="303" t="s">
        <v>323</v>
      </c>
      <c r="AC144" s="301" t="s">
        <v>324</v>
      </c>
    </row>
    <row r="145" spans="1:29" s="903" customFormat="1" ht="20" customHeight="1">
      <c r="A145" s="2005" t="s">
        <v>939</v>
      </c>
      <c r="B145" s="2006"/>
      <c r="C145" s="2006"/>
      <c r="D145" s="2006"/>
      <c r="E145" s="2006"/>
      <c r="F145" s="2006"/>
      <c r="G145" s="2006"/>
      <c r="H145" s="2006"/>
      <c r="I145" s="2006"/>
      <c r="J145" s="2006"/>
      <c r="K145" s="2006"/>
      <c r="L145" s="2006"/>
      <c r="M145" s="2006"/>
      <c r="N145" s="2006"/>
      <c r="O145" s="2006"/>
      <c r="P145" s="2006"/>
      <c r="Q145" s="2006"/>
      <c r="R145" s="2007"/>
      <c r="S145" s="932"/>
      <c r="T145" s="299"/>
      <c r="U145" s="300"/>
      <c r="V145" s="301"/>
      <c r="W145" s="301"/>
      <c r="X145" s="301"/>
      <c r="Y145" s="301"/>
      <c r="Z145" s="301"/>
      <c r="AA145" s="302"/>
      <c r="AB145" s="303"/>
      <c r="AC145" s="301"/>
    </row>
    <row r="146" spans="1:29" ht="17">
      <c r="A146" s="993" t="s">
        <v>911</v>
      </c>
      <c r="B146" s="910"/>
      <c r="C146" s="910"/>
      <c r="D146" s="910"/>
      <c r="E146" s="910"/>
      <c r="F146" s="910"/>
      <c r="G146" s="910"/>
      <c r="H146" s="910"/>
      <c r="I146" s="910"/>
      <c r="J146" s="910"/>
      <c r="K146" s="910"/>
      <c r="L146" s="910"/>
      <c r="M146" s="910"/>
      <c r="N146" s="910"/>
      <c r="O146" s="910"/>
      <c r="P146" s="1188"/>
      <c r="Q146" s="1188"/>
      <c r="R146" s="1189"/>
      <c r="S146" s="265"/>
      <c r="T146" s="304" t="s">
        <v>325</v>
      </c>
      <c r="U146" s="1558">
        <f>2100000</f>
        <v>2100000</v>
      </c>
      <c r="V146" s="1565">
        <f>0.7*0.74</f>
        <v>0.51800000000000002</v>
      </c>
      <c r="W146" s="1559">
        <v>73500</v>
      </c>
      <c r="X146" s="1559">
        <v>48900</v>
      </c>
      <c r="Y146" s="305">
        <f>X146/W146</f>
        <v>0.66530612244897958</v>
      </c>
      <c r="Z146" s="306">
        <f>Y146*U146</f>
        <v>1397142.857142857</v>
      </c>
      <c r="AA146" s="307">
        <f>(W146/Z146)*1000</f>
        <v>52.607361963190186</v>
      </c>
      <c r="AB146" s="287">
        <f>(X146/Z146)*1000</f>
        <v>35</v>
      </c>
      <c r="AC146" s="149">
        <f>Z146/4/('MK Segmentation'!$A$4)</f>
        <v>2.1079403396844554E-2</v>
      </c>
    </row>
    <row r="147" spans="1:29" ht="16">
      <c r="A147" s="993" t="s">
        <v>223</v>
      </c>
      <c r="B147" s="910"/>
      <c r="C147" s="910"/>
      <c r="D147" s="910"/>
      <c r="E147" s="910"/>
      <c r="F147" s="910"/>
      <c r="G147" s="910"/>
      <c r="H147" s="910"/>
      <c r="I147" s="910"/>
      <c r="J147" s="910"/>
      <c r="K147" s="910"/>
      <c r="L147" s="910"/>
      <c r="M147" s="910"/>
      <c r="N147" s="910"/>
      <c r="O147" s="910"/>
      <c r="P147" s="1188"/>
      <c r="Q147" s="1188"/>
      <c r="R147" s="1189"/>
      <c r="S147" s="265"/>
      <c r="T147" s="308" t="s">
        <v>326</v>
      </c>
      <c r="U147" s="1558">
        <v>250000</v>
      </c>
      <c r="V147" s="1565">
        <f>0.96*0.74</f>
        <v>0.71039999999999992</v>
      </c>
      <c r="W147" s="1559">
        <v>6690</v>
      </c>
      <c r="X147" s="1559">
        <v>3890</v>
      </c>
      <c r="Y147" s="305">
        <f>X147/W147</f>
        <v>0.58146487294469362</v>
      </c>
      <c r="Z147" s="309">
        <f>Y147*U147</f>
        <v>145366.21823617342</v>
      </c>
      <c r="AA147" s="287">
        <f>(W147/Z147)*1000</f>
        <v>46.021696658097682</v>
      </c>
      <c r="AB147" s="307">
        <f>(X147/Z147)*1000</f>
        <v>26.759999999999994</v>
      </c>
      <c r="AC147" s="149">
        <f>Z147/4/('MK Segmentation'!$A$4)*Y147</f>
        <v>1.2752768499871331E-3</v>
      </c>
    </row>
    <row r="148" spans="1:29" ht="16">
      <c r="A148" s="1190" t="s">
        <v>224</v>
      </c>
      <c r="B148" s="910"/>
      <c r="C148" s="910"/>
      <c r="D148" s="910"/>
      <c r="E148" s="910"/>
      <c r="F148" s="910"/>
      <c r="G148" s="910"/>
      <c r="H148" s="910"/>
      <c r="I148" s="910"/>
      <c r="J148" s="910"/>
      <c r="K148" s="910"/>
      <c r="L148" s="910"/>
      <c r="M148" s="910"/>
      <c r="N148" s="915"/>
      <c r="O148" s="915"/>
      <c r="P148" s="1312"/>
      <c r="Q148" s="1312"/>
      <c r="R148" s="1313"/>
      <c r="S148" s="265"/>
      <c r="T148" s="308" t="s">
        <v>327</v>
      </c>
      <c r="U148" s="1560" t="s">
        <v>328</v>
      </c>
      <c r="V148" s="1565">
        <f>0.7*0.74</f>
        <v>0.51800000000000002</v>
      </c>
      <c r="W148" s="1559">
        <v>18400</v>
      </c>
      <c r="X148" s="1559">
        <v>10600</v>
      </c>
      <c r="Y148" s="305">
        <f>X148/W148</f>
        <v>0.57608695652173914</v>
      </c>
      <c r="Z148" s="309">
        <f>Y148*U148</f>
        <v>293804.34782608697</v>
      </c>
      <c r="AA148" s="307">
        <f>(W148/Z148)*1000</f>
        <v>62.626711061783205</v>
      </c>
      <c r="AB148" s="287">
        <f>(X148/Z148)*1000</f>
        <v>36.078431372549019</v>
      </c>
      <c r="AC148" s="149">
        <f>Z148/4/('MK Segmentation'!$A$4)*Y148</f>
        <v>2.5536640397100917E-3</v>
      </c>
    </row>
    <row r="149" spans="1:29" ht="17">
      <c r="A149" s="1191" t="s">
        <v>306</v>
      </c>
      <c r="B149" s="910"/>
      <c r="C149" s="910"/>
      <c r="D149" s="910"/>
      <c r="E149" s="910"/>
      <c r="F149" s="910"/>
      <c r="G149" s="910"/>
      <c r="H149" s="910"/>
      <c r="I149" s="910"/>
      <c r="J149" s="910"/>
      <c r="K149" s="910"/>
      <c r="L149" s="910"/>
      <c r="M149" s="910"/>
      <c r="N149" s="920">
        <f>SUM(N150:N153)</f>
        <v>101885</v>
      </c>
      <c r="O149" s="915"/>
      <c r="P149" s="921">
        <f>SUM(P150:P153)</f>
        <v>1.6199999999999999E-2</v>
      </c>
      <c r="Q149" s="921" t="e">
        <f>SUM(Q150:Q153)</f>
        <v>#REF!</v>
      </c>
      <c r="R149" s="1229">
        <f>SUM(R150:R153)</f>
        <v>2.6280889809574316E-2</v>
      </c>
      <c r="S149" s="265"/>
      <c r="T149" s="308" t="s">
        <v>329</v>
      </c>
      <c r="U149" s="1558">
        <v>270500</v>
      </c>
      <c r="V149" s="1565">
        <f>0.96*0.74</f>
        <v>0.71039999999999992</v>
      </c>
      <c r="W149" s="1559">
        <v>10510</v>
      </c>
      <c r="X149" s="1559">
        <v>6095</v>
      </c>
      <c r="Y149" s="305">
        <f>X149/W149</f>
        <v>0.57992388201712652</v>
      </c>
      <c r="Z149" s="310">
        <f>Y149*U149</f>
        <v>156869.41008563273</v>
      </c>
      <c r="AA149" s="287">
        <f>(W149/Z149)*1000</f>
        <v>66.998403285017417</v>
      </c>
      <c r="AB149" s="307">
        <f>(X149/Z149)*1000</f>
        <v>38.853974121996302</v>
      </c>
      <c r="AC149" s="149">
        <f>Z149/4/('MK Segmentation'!$A$4)*Y149</f>
        <v>1.3725455230325393E-3</v>
      </c>
    </row>
    <row r="150" spans="1:29" ht="17">
      <c r="A150" s="1212" t="s">
        <v>307</v>
      </c>
      <c r="B150" s="910"/>
      <c r="C150" s="910"/>
      <c r="D150" s="1227"/>
      <c r="E150" s="910"/>
      <c r="F150" s="910"/>
      <c r="G150" s="1227"/>
      <c r="H150" s="910"/>
      <c r="I150" s="910"/>
      <c r="J150" s="1227"/>
      <c r="K150" s="910"/>
      <c r="L150" s="910"/>
      <c r="M150" s="1227"/>
      <c r="N150" s="916">
        <f>W146</f>
        <v>73500</v>
      </c>
      <c r="O150" s="916">
        <v>53</v>
      </c>
      <c r="P150" s="921">
        <v>1.1299999999999999E-2</v>
      </c>
      <c r="Q150" s="921" t="e">
        <f>#REF!</f>
        <v>#REF!</v>
      </c>
      <c r="R150" s="1334">
        <f>AC146</f>
        <v>2.1079403396844554E-2</v>
      </c>
      <c r="S150" s="265"/>
      <c r="T150" s="313"/>
      <c r="U150" s="3"/>
      <c r="V150" s="3"/>
      <c r="W150" s="3"/>
      <c r="X150" s="3"/>
      <c r="Y150" s="3"/>
      <c r="Z150" s="3"/>
      <c r="AA150" s="3"/>
      <c r="AB150" s="3"/>
      <c r="AC150" s="311">
        <f>SUM(AC146:AC149)</f>
        <v>2.6280889809574316E-2</v>
      </c>
    </row>
    <row r="151" spans="1:29" ht="17">
      <c r="A151" s="1212" t="s">
        <v>308</v>
      </c>
      <c r="B151" s="1227"/>
      <c r="C151" s="910"/>
      <c r="D151" s="1227"/>
      <c r="E151" s="910"/>
      <c r="F151" s="1227"/>
      <c r="G151" s="910"/>
      <c r="H151" s="1227"/>
      <c r="I151" s="910"/>
      <c r="J151" s="1227"/>
      <c r="K151" s="910"/>
      <c r="L151" s="1227"/>
      <c r="M151" s="910"/>
      <c r="N151" s="916">
        <f>X147</f>
        <v>3890</v>
      </c>
      <c r="O151" s="916">
        <v>27</v>
      </c>
      <c r="P151" s="921">
        <v>1.1999999999999999E-3</v>
      </c>
      <c r="Q151" s="921" t="e">
        <f>#REF!</f>
        <v>#REF!</v>
      </c>
      <c r="R151" s="1334">
        <f>AC147</f>
        <v>1.2752768499871331E-3</v>
      </c>
      <c r="S151" s="265"/>
      <c r="T151" s="3"/>
      <c r="U151" s="3"/>
      <c r="V151" s="3"/>
      <c r="W151" s="3"/>
      <c r="X151" s="3"/>
      <c r="Y151" s="3"/>
      <c r="Z151" s="3"/>
      <c r="AA151" s="3"/>
      <c r="AB151" s="3"/>
      <c r="AC151" s="3"/>
    </row>
    <row r="152" spans="1:29" ht="51">
      <c r="A152" s="1212" t="s">
        <v>331</v>
      </c>
      <c r="B152" s="1227"/>
      <c r="C152" s="910"/>
      <c r="D152" s="1227"/>
      <c r="E152" s="910"/>
      <c r="F152" s="1227"/>
      <c r="G152" s="910"/>
      <c r="H152" s="1227"/>
      <c r="I152" s="910"/>
      <c r="J152" s="1227"/>
      <c r="K152" s="910"/>
      <c r="L152" s="1227"/>
      <c r="M152" s="910"/>
      <c r="N152" s="916">
        <v>18400</v>
      </c>
      <c r="O152" s="916">
        <v>63</v>
      </c>
      <c r="P152" s="921">
        <v>2.3999999999999998E-3</v>
      </c>
      <c r="Q152" s="921" t="e">
        <f>#REF!</f>
        <v>#REF!</v>
      </c>
      <c r="R152" s="1334">
        <f>AC148</f>
        <v>2.5536640397100917E-3</v>
      </c>
      <c r="S152" s="265"/>
      <c r="T152" s="279" t="s">
        <v>283</v>
      </c>
      <c r="U152" s="282" t="s">
        <v>284</v>
      </c>
      <c r="V152" s="282" t="s">
        <v>285</v>
      </c>
      <c r="W152" s="281" t="s">
        <v>287</v>
      </c>
      <c r="X152" s="281" t="s">
        <v>288</v>
      </c>
      <c r="Y152" s="3"/>
      <c r="Z152" s="3"/>
      <c r="AA152" s="3"/>
      <c r="AB152" s="3"/>
      <c r="AC152" s="44"/>
    </row>
    <row r="153" spans="1:29" ht="17">
      <c r="A153" s="1212" t="s">
        <v>310</v>
      </c>
      <c r="B153" s="1227"/>
      <c r="C153" s="910"/>
      <c r="D153" s="1227"/>
      <c r="E153" s="910"/>
      <c r="F153" s="1227"/>
      <c r="G153" s="910"/>
      <c r="H153" s="1227"/>
      <c r="I153" s="910"/>
      <c r="J153" s="1227"/>
      <c r="K153" s="910"/>
      <c r="L153" s="1227"/>
      <c r="M153" s="910"/>
      <c r="N153" s="916">
        <f>X149</f>
        <v>6095</v>
      </c>
      <c r="O153" s="916">
        <v>39</v>
      </c>
      <c r="P153" s="921">
        <v>1.2999999999999999E-3</v>
      </c>
      <c r="Q153" s="921" t="e">
        <f>#REF!</f>
        <v>#REF!</v>
      </c>
      <c r="R153" s="1334">
        <f>AC149</f>
        <v>1.3725455230325393E-3</v>
      </c>
      <c r="S153" s="265"/>
      <c r="T153" s="284" t="s">
        <v>291</v>
      </c>
      <c r="U153" s="1561">
        <v>4000</v>
      </c>
      <c r="V153" s="1561">
        <v>4000</v>
      </c>
      <c r="W153" s="1561">
        <v>4000</v>
      </c>
      <c r="X153" s="1561">
        <v>4000</v>
      </c>
      <c r="Y153" s="3"/>
      <c r="Z153" s="3"/>
      <c r="AA153" s="3"/>
      <c r="AB153" s="3"/>
      <c r="AC153" s="3"/>
    </row>
    <row r="154" spans="1:29" ht="17">
      <c r="A154" s="1192" t="s">
        <v>226</v>
      </c>
      <c r="B154" s="910"/>
      <c r="C154" s="910"/>
      <c r="D154" s="910"/>
      <c r="E154" s="910"/>
      <c r="F154" s="910"/>
      <c r="G154" s="910"/>
      <c r="H154" s="910"/>
      <c r="I154" s="910"/>
      <c r="J154" s="910"/>
      <c r="K154" s="910"/>
      <c r="L154" s="910"/>
      <c r="M154" s="910"/>
      <c r="N154" s="1335">
        <v>42960</v>
      </c>
      <c r="O154" s="915"/>
      <c r="P154" s="921">
        <f>'MK IMC Schedule Y1-Y5'!P150*1.67</f>
        <v>1.8870999999999999E-2</v>
      </c>
      <c r="Q154" s="921" t="e">
        <f>'MK IMC Schedule Y1-Y5'!Q150*1.67</f>
        <v>#REF!</v>
      </c>
      <c r="R154" s="1229">
        <f>R9*1.67</f>
        <v>4.3045919999999994E-2</v>
      </c>
      <c r="S154" s="238" t="s">
        <v>311</v>
      </c>
      <c r="T154" s="284" t="s">
        <v>294</v>
      </c>
      <c r="U154" s="1561">
        <v>5000</v>
      </c>
      <c r="V154" s="285"/>
      <c r="W154" s="285"/>
      <c r="X154" s="286"/>
      <c r="Y154" s="3"/>
      <c r="Z154" s="3"/>
      <c r="AA154" s="3"/>
      <c r="AB154" s="3"/>
      <c r="AC154" s="3"/>
    </row>
    <row r="155" spans="1:29" ht="17">
      <c r="A155" s="1194" t="s">
        <v>256</v>
      </c>
      <c r="B155" s="910"/>
      <c r="C155" s="910"/>
      <c r="D155" s="910"/>
      <c r="E155" s="910"/>
      <c r="F155" s="1195"/>
      <c r="G155" s="910"/>
      <c r="H155" s="910"/>
      <c r="I155" s="910"/>
      <c r="J155" s="910"/>
      <c r="K155" s="910"/>
      <c r="L155" s="910"/>
      <c r="M155" s="1195"/>
      <c r="N155" s="1323"/>
      <c r="O155" s="915"/>
      <c r="P155" s="1312"/>
      <c r="Q155" s="1312"/>
      <c r="R155" s="1313"/>
      <c r="S155" s="265"/>
      <c r="T155" s="284" t="s">
        <v>296</v>
      </c>
      <c r="U155" s="1561">
        <v>4000</v>
      </c>
      <c r="V155" s="1561">
        <v>4000</v>
      </c>
      <c r="W155" s="1561">
        <v>4000</v>
      </c>
      <c r="X155" s="1561">
        <v>4000</v>
      </c>
      <c r="Y155" s="3"/>
      <c r="Z155" s="3"/>
      <c r="AA155" s="3"/>
      <c r="AB155" s="3"/>
      <c r="AC155" s="3"/>
    </row>
    <row r="156" spans="1:29" ht="17">
      <c r="A156" s="1194" t="s">
        <v>257</v>
      </c>
      <c r="B156" s="910"/>
      <c r="C156" s="1195"/>
      <c r="D156" s="910"/>
      <c r="E156" s="910"/>
      <c r="F156" s="910"/>
      <c r="G156" s="910"/>
      <c r="H156" s="910"/>
      <c r="I156" s="910"/>
      <c r="J156" s="910"/>
      <c r="K156" s="910"/>
      <c r="L156" s="1195"/>
      <c r="M156" s="910"/>
      <c r="N156" s="1323"/>
      <c r="O156" s="915"/>
      <c r="P156" s="1315"/>
      <c r="Q156" s="1315"/>
      <c r="R156" s="1313"/>
      <c r="S156" s="265"/>
      <c r="T156" s="282" t="s">
        <v>298</v>
      </c>
      <c r="U156" s="287"/>
      <c r="V156" s="285"/>
      <c r="W156" s="285"/>
      <c r="X156" s="288">
        <f>SUM(U153:X155)</f>
        <v>37000</v>
      </c>
      <c r="Y156" s="3"/>
      <c r="Z156" s="3"/>
      <c r="AA156" s="3"/>
      <c r="AB156" s="3"/>
      <c r="AC156" s="296"/>
    </row>
    <row r="157" spans="1:29" ht="17">
      <c r="A157" s="1194" t="s">
        <v>258</v>
      </c>
      <c r="B157" s="910"/>
      <c r="C157" s="910"/>
      <c r="D157" s="910"/>
      <c r="E157" s="910"/>
      <c r="F157" s="910"/>
      <c r="G157" s="910"/>
      <c r="H157" s="910"/>
      <c r="I157" s="1195"/>
      <c r="J157" s="910"/>
      <c r="K157" s="910"/>
      <c r="L157" s="910"/>
      <c r="M157" s="910"/>
      <c r="N157" s="1323"/>
      <c r="O157" s="915"/>
      <c r="P157" s="1315"/>
      <c r="Q157" s="1315"/>
      <c r="R157" s="1313"/>
      <c r="S157" s="265"/>
    </row>
    <row r="158" spans="1:29" ht="17">
      <c r="A158" s="1194" t="s">
        <v>259</v>
      </c>
      <c r="B158" s="910"/>
      <c r="C158" s="910"/>
      <c r="D158" s="910"/>
      <c r="E158" s="910"/>
      <c r="F158" s="910"/>
      <c r="G158" s="910"/>
      <c r="H158" s="910"/>
      <c r="I158" s="910"/>
      <c r="J158" s="1195"/>
      <c r="K158" s="910"/>
      <c r="L158" s="910"/>
      <c r="M158" s="910"/>
      <c r="N158" s="1323"/>
      <c r="O158" s="915"/>
      <c r="P158" s="1315"/>
      <c r="Q158" s="1315"/>
      <c r="R158" s="1313"/>
      <c r="S158" s="265"/>
    </row>
    <row r="159" spans="1:29" ht="17">
      <c r="A159" s="1194" t="s">
        <v>260</v>
      </c>
      <c r="B159" s="910"/>
      <c r="C159" s="910"/>
      <c r="D159" s="1195"/>
      <c r="E159" s="910"/>
      <c r="F159" s="910"/>
      <c r="G159" s="910"/>
      <c r="H159" s="910"/>
      <c r="I159" s="910"/>
      <c r="J159" s="910"/>
      <c r="K159" s="910"/>
      <c r="L159" s="910"/>
      <c r="M159" s="910"/>
      <c r="N159" s="1323"/>
      <c r="O159" s="915"/>
      <c r="P159" s="1315"/>
      <c r="Q159" s="1315"/>
      <c r="R159" s="1313"/>
      <c r="S159" s="265"/>
    </row>
    <row r="160" spans="1:29" ht="17">
      <c r="A160" s="1194" t="s">
        <v>261</v>
      </c>
      <c r="B160" s="910"/>
      <c r="C160" s="910"/>
      <c r="D160" s="910"/>
      <c r="E160" s="910"/>
      <c r="F160" s="1195"/>
      <c r="G160" s="910"/>
      <c r="H160" s="910"/>
      <c r="I160" s="910"/>
      <c r="J160" s="910"/>
      <c r="K160" s="910"/>
      <c r="L160" s="910"/>
      <c r="M160" s="910"/>
      <c r="N160" s="1323"/>
      <c r="O160" s="915"/>
      <c r="P160" s="1315"/>
      <c r="Q160" s="1315"/>
      <c r="R160" s="1313"/>
      <c r="S160" s="265"/>
    </row>
    <row r="161" spans="1:19" ht="17">
      <c r="A161" s="1194" t="s">
        <v>262</v>
      </c>
      <c r="B161" s="910"/>
      <c r="C161" s="910"/>
      <c r="D161" s="910"/>
      <c r="E161" s="910"/>
      <c r="F161" s="910"/>
      <c r="G161" s="910"/>
      <c r="H161" s="1195"/>
      <c r="I161" s="910"/>
      <c r="J161" s="910"/>
      <c r="K161" s="910"/>
      <c r="L161" s="910"/>
      <c r="M161" s="910"/>
      <c r="N161" s="1323"/>
      <c r="O161" s="915"/>
      <c r="P161" s="1315"/>
      <c r="Q161" s="1315"/>
      <c r="R161" s="1313"/>
      <c r="S161" s="265"/>
    </row>
    <row r="162" spans="1:19" ht="17">
      <c r="A162" s="1194" t="s">
        <v>263</v>
      </c>
      <c r="B162" s="910"/>
      <c r="C162" s="910"/>
      <c r="D162" s="910"/>
      <c r="E162" s="910"/>
      <c r="F162" s="910"/>
      <c r="G162" s="910"/>
      <c r="H162" s="910"/>
      <c r="I162" s="910"/>
      <c r="J162" s="910"/>
      <c r="K162" s="1195"/>
      <c r="L162" s="910"/>
      <c r="M162" s="910"/>
      <c r="N162" s="1323"/>
      <c r="O162" s="915"/>
      <c r="P162" s="1315"/>
      <c r="Q162" s="1315"/>
      <c r="R162" s="1313"/>
      <c r="S162" s="265"/>
    </row>
    <row r="163" spans="1:19" ht="16">
      <c r="A163" s="1192" t="s">
        <v>312</v>
      </c>
      <c r="B163" s="911"/>
      <c r="C163" s="911"/>
      <c r="D163" s="911"/>
      <c r="E163" s="911"/>
      <c r="F163" s="911"/>
      <c r="G163" s="911"/>
      <c r="H163" s="911"/>
      <c r="I163" s="911"/>
      <c r="J163" s="911"/>
      <c r="K163" s="911"/>
      <c r="L163" s="911"/>
      <c r="M163" s="911"/>
      <c r="N163" s="1338">
        <f>0.25*159044</f>
        <v>39761</v>
      </c>
      <c r="O163" s="915"/>
      <c r="P163" s="921">
        <v>0.06</v>
      </c>
      <c r="Q163" s="921">
        <v>0.06</v>
      </c>
      <c r="R163" s="1229">
        <v>7.0000000000000007E-2</v>
      </c>
      <c r="S163" s="265"/>
    </row>
    <row r="164" spans="1:19" ht="17">
      <c r="A164" s="1198" t="s">
        <v>313</v>
      </c>
      <c r="B164" s="910"/>
      <c r="C164" s="910"/>
      <c r="D164" s="910"/>
      <c r="E164" s="910"/>
      <c r="F164" s="910"/>
      <c r="G164" s="910"/>
      <c r="H164" s="1223"/>
      <c r="I164" s="1223"/>
      <c r="J164" s="910"/>
      <c r="K164" s="910"/>
      <c r="L164" s="910"/>
      <c r="M164" s="910"/>
      <c r="N164" s="1338">
        <v>6200</v>
      </c>
      <c r="O164" s="915"/>
      <c r="P164" s="921">
        <v>7.4999999999999997E-3</v>
      </c>
      <c r="Q164" s="921">
        <v>2.5000000000000001E-3</v>
      </c>
      <c r="R164" s="1229">
        <v>0.01</v>
      </c>
      <c r="S164" s="265"/>
    </row>
    <row r="165" spans="1:19" ht="17">
      <c r="A165" s="1198" t="s">
        <v>264</v>
      </c>
      <c r="B165" s="910"/>
      <c r="C165" s="910"/>
      <c r="D165" s="910"/>
      <c r="E165" s="910"/>
      <c r="F165" s="910"/>
      <c r="G165" s="910"/>
      <c r="H165" s="910"/>
      <c r="I165" s="910"/>
      <c r="J165" s="910"/>
      <c r="K165" s="910"/>
      <c r="L165" s="910"/>
      <c r="M165" s="910"/>
      <c r="N165" s="1338">
        <v>11069</v>
      </c>
      <c r="O165" s="915"/>
      <c r="P165" s="1312"/>
      <c r="Q165" s="1312"/>
      <c r="R165" s="1313"/>
      <c r="S165" s="265"/>
    </row>
    <row r="166" spans="1:19" ht="16">
      <c r="A166" s="1190" t="s">
        <v>229</v>
      </c>
      <c r="B166" s="910"/>
      <c r="C166" s="910"/>
      <c r="D166" s="910"/>
      <c r="E166" s="910"/>
      <c r="F166" s="910"/>
      <c r="G166" s="910"/>
      <c r="H166" s="910"/>
      <c r="I166" s="910"/>
      <c r="J166" s="910"/>
      <c r="K166" s="910"/>
      <c r="L166" s="910"/>
      <c r="M166" s="910"/>
      <c r="N166" s="1338"/>
      <c r="O166" s="915"/>
      <c r="P166" s="921"/>
      <c r="Q166" s="921"/>
      <c r="R166" s="1334"/>
      <c r="S166" s="265"/>
    </row>
    <row r="167" spans="1:19" ht="17">
      <c r="A167" s="1198" t="s">
        <v>230</v>
      </c>
      <c r="B167" s="910"/>
      <c r="C167" s="910"/>
      <c r="D167" s="910"/>
      <c r="E167" s="910"/>
      <c r="F167" s="910"/>
      <c r="G167" s="910"/>
      <c r="H167" s="910"/>
      <c r="I167" s="910"/>
      <c r="J167" s="910"/>
      <c r="K167" s="910"/>
      <c r="L167" s="910"/>
      <c r="M167" s="910"/>
      <c r="N167" s="1338">
        <v>20000</v>
      </c>
      <c r="O167" s="915"/>
      <c r="P167" s="921">
        <v>0.01</v>
      </c>
      <c r="Q167" s="921">
        <v>0.01</v>
      </c>
      <c r="R167" s="1229">
        <v>0.02</v>
      </c>
      <c r="S167" s="265"/>
    </row>
    <row r="168" spans="1:19" ht="34">
      <c r="A168" s="1194" t="s">
        <v>265</v>
      </c>
      <c r="B168" s="1199"/>
      <c r="C168" s="910"/>
      <c r="D168" s="1199"/>
      <c r="E168" s="910"/>
      <c r="F168" s="1200"/>
      <c r="G168" s="1199"/>
      <c r="H168" s="1199"/>
      <c r="I168" s="910"/>
      <c r="J168" s="1199"/>
      <c r="K168" s="910"/>
      <c r="L168" s="1199"/>
      <c r="M168" s="1199"/>
      <c r="N168" s="915"/>
      <c r="O168" s="915"/>
      <c r="P168" s="1312"/>
      <c r="Q168" s="1312"/>
      <c r="R168" s="1313"/>
      <c r="S168" s="265"/>
    </row>
    <row r="169" spans="1:19" ht="51">
      <c r="A169" s="1194" t="s">
        <v>266</v>
      </c>
      <c r="B169" s="910"/>
      <c r="C169" s="910"/>
      <c r="D169" s="910"/>
      <c r="E169" s="1199"/>
      <c r="F169" s="1199"/>
      <c r="G169" s="1199"/>
      <c r="H169" s="910"/>
      <c r="I169" s="910"/>
      <c r="J169" s="910"/>
      <c r="K169" s="1199"/>
      <c r="L169" s="1199"/>
      <c r="M169" s="1199"/>
      <c r="N169" s="915"/>
      <c r="O169" s="915"/>
      <c r="P169" s="1312"/>
      <c r="Q169" s="1312"/>
      <c r="R169" s="1313"/>
      <c r="S169" s="265"/>
    </row>
    <row r="170" spans="1:19" ht="16">
      <c r="A170" s="1192" t="s">
        <v>304</v>
      </c>
      <c r="B170" s="1223"/>
      <c r="C170" s="1223"/>
      <c r="D170" s="1223"/>
      <c r="E170" s="1223"/>
      <c r="F170" s="1223"/>
      <c r="G170" s="1223"/>
      <c r="H170" s="1223"/>
      <c r="I170" s="1223"/>
      <c r="J170" s="1223"/>
      <c r="K170" s="1223"/>
      <c r="L170" s="1223"/>
      <c r="M170" s="1223"/>
      <c r="N170" s="920"/>
      <c r="O170" s="915"/>
      <c r="P170" s="921">
        <v>2.5000000000000001E-3</v>
      </c>
      <c r="Q170" s="921">
        <v>2.5000000000000001E-3</v>
      </c>
      <c r="R170" s="1229">
        <v>7.0000000000000001E-3</v>
      </c>
      <c r="S170" s="265"/>
    </row>
    <row r="171" spans="1:19" ht="17">
      <c r="A171" s="1198" t="s">
        <v>232</v>
      </c>
      <c r="B171" s="910"/>
      <c r="C171" s="910"/>
      <c r="D171" s="910"/>
      <c r="E171" s="910"/>
      <c r="F171" s="910"/>
      <c r="G171" s="910"/>
      <c r="H171" s="910"/>
      <c r="I171" s="910"/>
      <c r="J171" s="910"/>
      <c r="K171" s="910"/>
      <c r="L171" s="910"/>
      <c r="M171" s="910"/>
      <c r="N171" s="920"/>
      <c r="O171" s="915"/>
      <c r="P171" s="1312"/>
      <c r="Q171" s="1312"/>
      <c r="R171" s="1339">
        <v>0.02</v>
      </c>
      <c r="S171" s="265"/>
    </row>
    <row r="172" spans="1:19" ht="16">
      <c r="A172" s="1190" t="s">
        <v>233</v>
      </c>
      <c r="B172" s="910"/>
      <c r="C172" s="910"/>
      <c r="D172" s="910"/>
      <c r="E172" s="910"/>
      <c r="F172" s="910"/>
      <c r="G172" s="910"/>
      <c r="H172" s="910"/>
      <c r="I172" s="910"/>
      <c r="J172" s="910"/>
      <c r="K172" s="910"/>
      <c r="L172" s="910"/>
      <c r="M172" s="910"/>
      <c r="N172" s="920"/>
      <c r="O172" s="915"/>
      <c r="P172" s="921"/>
      <c r="Q172" s="921"/>
      <c r="R172" s="1334"/>
      <c r="S172" s="265"/>
    </row>
    <row r="173" spans="1:19" ht="16">
      <c r="A173" s="1192" t="s">
        <v>234</v>
      </c>
      <c r="B173" s="911"/>
      <c r="C173" s="911"/>
      <c r="D173" s="911"/>
      <c r="E173" s="911"/>
      <c r="F173" s="911"/>
      <c r="G173" s="911"/>
      <c r="H173" s="911"/>
      <c r="I173" s="911"/>
      <c r="J173" s="911"/>
      <c r="K173" s="911"/>
      <c r="L173" s="911"/>
      <c r="M173" s="911"/>
      <c r="N173" s="920">
        <v>11250</v>
      </c>
      <c r="O173" s="915"/>
      <c r="P173" s="921">
        <v>5.0000000000000001E-3</v>
      </c>
      <c r="Q173" s="921">
        <v>5.0000000000000001E-3</v>
      </c>
      <c r="R173" s="1229">
        <v>0.03</v>
      </c>
      <c r="S173" s="265"/>
    </row>
    <row r="174" spans="1:19" s="903" customFormat="1" ht="16">
      <c r="A174" s="1192" t="s">
        <v>267</v>
      </c>
      <c r="B174" s="911"/>
      <c r="C174" s="911"/>
      <c r="D174" s="911"/>
      <c r="E174" s="911"/>
      <c r="F174" s="911"/>
      <c r="G174" s="911"/>
      <c r="H174" s="911"/>
      <c r="I174" s="911"/>
      <c r="J174" s="911"/>
      <c r="K174" s="911"/>
      <c r="L174" s="911"/>
      <c r="M174" s="911"/>
      <c r="N174" s="920">
        <v>1500</v>
      </c>
      <c r="O174" s="915"/>
      <c r="P174" s="921">
        <v>0</v>
      </c>
      <c r="Q174" s="921">
        <v>0</v>
      </c>
      <c r="R174" s="1229">
        <v>0</v>
      </c>
      <c r="S174" s="265"/>
    </row>
    <row r="175" spans="1:19" s="903" customFormat="1" ht="16">
      <c r="A175" s="1190" t="s">
        <v>914</v>
      </c>
      <c r="B175" s="915"/>
      <c r="C175" s="915"/>
      <c r="D175" s="915"/>
      <c r="E175" s="915"/>
      <c r="F175" s="915"/>
      <c r="G175" s="915"/>
      <c r="H175" s="915"/>
      <c r="I175" s="915"/>
      <c r="J175" s="915"/>
      <c r="K175" s="915"/>
      <c r="L175" s="915"/>
      <c r="M175" s="915"/>
      <c r="N175" s="920"/>
      <c r="O175" s="915"/>
      <c r="P175" s="921"/>
      <c r="Q175" s="921"/>
      <c r="R175" s="1229"/>
      <c r="S175" s="265"/>
    </row>
    <row r="176" spans="1:19" ht="16">
      <c r="A176" s="1202" t="s">
        <v>913</v>
      </c>
      <c r="B176" s="913"/>
      <c r="C176" s="913"/>
      <c r="D176" s="913"/>
      <c r="E176" s="913"/>
      <c r="F176" s="913"/>
      <c r="G176" s="913"/>
      <c r="H176" s="913"/>
      <c r="I176" s="913"/>
      <c r="J176" s="913"/>
      <c r="K176" s="913"/>
      <c r="L176" s="913"/>
      <c r="M176" s="913"/>
      <c r="N176" s="918">
        <f>1*'MK Bases Model (Base Case)'!E16</f>
        <v>55491.996238476371</v>
      </c>
      <c r="O176" s="914"/>
      <c r="P176" s="914"/>
      <c r="Q176" s="914"/>
      <c r="R176" s="1203"/>
      <c r="S176" s="265"/>
    </row>
    <row r="177" spans="1:19" ht="16">
      <c r="A177" s="1190" t="s">
        <v>268</v>
      </c>
      <c r="B177" s="910"/>
      <c r="C177" s="910"/>
      <c r="D177" s="910"/>
      <c r="E177" s="910"/>
      <c r="F177" s="910"/>
      <c r="G177" s="910"/>
      <c r="H177" s="910"/>
      <c r="I177" s="910"/>
      <c r="J177" s="910"/>
      <c r="K177" s="910"/>
      <c r="L177" s="910"/>
      <c r="M177" s="910"/>
      <c r="N177" s="1336">
        <f>SUM(N150:N176)</f>
        <v>290116.99623847636</v>
      </c>
      <c r="O177" s="1319">
        <f>SUM(O149:O175)</f>
        <v>182</v>
      </c>
      <c r="P177" s="1320">
        <f>SUM(P150:P175)</f>
        <v>0.120071</v>
      </c>
      <c r="Q177" s="1320" t="e">
        <f>SUM(Q150:Q175)</f>
        <v>#REF!</v>
      </c>
      <c r="R177" s="1322">
        <f>SUM(R149,R154:R175)</f>
        <v>0.22632680980957431</v>
      </c>
      <c r="S177" s="265"/>
    </row>
    <row r="178" spans="1:19" ht="16">
      <c r="A178" s="1208"/>
      <c r="B178" s="910"/>
      <c r="C178" s="910"/>
      <c r="D178" s="910"/>
      <c r="E178" s="910"/>
      <c r="F178" s="910"/>
      <c r="G178" s="910"/>
      <c r="H178" s="910"/>
      <c r="I178" s="910"/>
      <c r="J178" s="910"/>
      <c r="K178" s="910"/>
      <c r="L178" s="910"/>
      <c r="M178" s="910"/>
      <c r="N178" s="915"/>
      <c r="O178" s="915"/>
      <c r="P178" s="1312"/>
      <c r="Q178" s="1312"/>
      <c r="R178" s="1313"/>
      <c r="S178" s="265"/>
    </row>
    <row r="179" spans="1:19" ht="16">
      <c r="A179" s="993" t="s">
        <v>269</v>
      </c>
      <c r="B179" s="910"/>
      <c r="C179" s="910"/>
      <c r="D179" s="910"/>
      <c r="E179" s="910"/>
      <c r="F179" s="910"/>
      <c r="G179" s="910"/>
      <c r="H179" s="910"/>
      <c r="I179" s="910"/>
      <c r="J179" s="910"/>
      <c r="K179" s="910"/>
      <c r="L179" s="910"/>
      <c r="M179" s="910"/>
      <c r="N179" s="915"/>
      <c r="O179" s="915"/>
      <c r="P179" s="1312"/>
      <c r="Q179" s="1312"/>
      <c r="R179" s="1313"/>
      <c r="S179" s="265"/>
    </row>
    <row r="180" spans="1:19" ht="16">
      <c r="A180" s="1192" t="s">
        <v>270</v>
      </c>
      <c r="B180" s="910"/>
      <c r="C180" s="910"/>
      <c r="D180" s="910"/>
      <c r="E180" s="910"/>
      <c r="F180" s="910"/>
      <c r="G180" s="910"/>
      <c r="H180" s="910"/>
      <c r="I180" s="1196"/>
      <c r="J180" s="910"/>
      <c r="K180" s="910"/>
      <c r="L180" s="910"/>
      <c r="M180" s="910"/>
      <c r="N180" s="916">
        <v>37000</v>
      </c>
      <c r="O180" s="915"/>
      <c r="P180" s="1312"/>
      <c r="Q180" s="1312"/>
      <c r="R180" s="1313"/>
      <c r="S180" s="265"/>
    </row>
    <row r="181" spans="1:19" ht="16">
      <c r="A181" s="1209" t="s">
        <v>271</v>
      </c>
      <c r="B181" s="910"/>
      <c r="C181" s="910"/>
      <c r="D181" s="1210"/>
      <c r="E181" s="910"/>
      <c r="F181" s="910"/>
      <c r="G181" s="910"/>
      <c r="H181" s="910"/>
      <c r="I181" s="910"/>
      <c r="J181" s="910"/>
      <c r="K181" s="910"/>
      <c r="L181" s="910"/>
      <c r="M181" s="910"/>
      <c r="N181" s="1323"/>
      <c r="O181" s="915"/>
      <c r="P181" s="1312"/>
      <c r="Q181" s="1312"/>
      <c r="R181" s="1313"/>
      <c r="S181" s="265"/>
    </row>
    <row r="182" spans="1:19" ht="16">
      <c r="A182" s="1209" t="s">
        <v>272</v>
      </c>
      <c r="B182" s="910"/>
      <c r="C182" s="910"/>
      <c r="D182" s="910"/>
      <c r="E182" s="910"/>
      <c r="F182" s="910"/>
      <c r="G182" s="910"/>
      <c r="H182" s="910"/>
      <c r="I182" s="1210"/>
      <c r="J182" s="910"/>
      <c r="K182" s="910"/>
      <c r="L182" s="910"/>
      <c r="M182" s="910"/>
      <c r="N182" s="915"/>
      <c r="O182" s="915"/>
      <c r="P182" s="1312"/>
      <c r="Q182" s="1337"/>
      <c r="R182" s="1313"/>
      <c r="S182" s="265"/>
    </row>
    <row r="183" spans="1:19" ht="17">
      <c r="A183" s="1212" t="s">
        <v>274</v>
      </c>
      <c r="B183" s="910"/>
      <c r="C183" s="910"/>
      <c r="D183" s="910"/>
      <c r="E183" s="910"/>
      <c r="F183" s="910"/>
      <c r="G183" s="1213"/>
      <c r="H183" s="910"/>
      <c r="I183" s="910"/>
      <c r="J183" s="910"/>
      <c r="K183" s="910"/>
      <c r="L183" s="910"/>
      <c r="M183" s="910"/>
      <c r="N183" s="915"/>
      <c r="O183" s="915"/>
      <c r="P183" s="1312"/>
      <c r="Q183" s="1312"/>
      <c r="R183" s="1313"/>
      <c r="S183" s="265"/>
    </row>
    <row r="184" spans="1:19" ht="16">
      <c r="A184" s="1209" t="s">
        <v>275</v>
      </c>
      <c r="B184" s="910"/>
      <c r="C184" s="910"/>
      <c r="D184" s="910"/>
      <c r="E184" s="910"/>
      <c r="F184" s="910"/>
      <c r="G184" s="910"/>
      <c r="H184" s="1210"/>
      <c r="I184" s="910"/>
      <c r="J184" s="910"/>
      <c r="K184" s="910"/>
      <c r="L184" s="910"/>
      <c r="M184" s="910"/>
      <c r="N184" s="915"/>
      <c r="O184" s="915"/>
      <c r="P184" s="1312"/>
      <c r="Q184" s="1312"/>
      <c r="R184" s="1313"/>
      <c r="S184" s="265"/>
    </row>
    <row r="185" spans="1:19" ht="16">
      <c r="A185" s="1192" t="s">
        <v>276</v>
      </c>
      <c r="B185" s="910"/>
      <c r="C185" s="910"/>
      <c r="D185" s="910"/>
      <c r="E185" s="910"/>
      <c r="F185" s="910"/>
      <c r="G185" s="1225"/>
      <c r="H185" s="910"/>
      <c r="I185" s="910"/>
      <c r="J185" s="910"/>
      <c r="K185" s="910"/>
      <c r="L185" s="910"/>
      <c r="M185" s="910"/>
      <c r="N185" s="915"/>
      <c r="O185" s="915"/>
      <c r="P185" s="1312"/>
      <c r="Q185" s="1333"/>
      <c r="R185" s="1313"/>
      <c r="S185" s="265"/>
    </row>
    <row r="186" spans="1:19" ht="16">
      <c r="A186" s="1215" t="s">
        <v>314</v>
      </c>
      <c r="B186" s="273"/>
      <c r="C186" s="276"/>
      <c r="D186" s="273"/>
      <c r="E186" s="273"/>
      <c r="F186" s="273"/>
      <c r="G186" s="273"/>
      <c r="H186" s="276"/>
      <c r="I186" s="273"/>
      <c r="J186" s="276"/>
      <c r="K186" s="273"/>
      <c r="L186" s="273"/>
      <c r="M186" s="273"/>
      <c r="N186" s="1324">
        <f>2190*3</f>
        <v>6570</v>
      </c>
      <c r="O186" s="1325"/>
      <c r="P186" s="1326"/>
      <c r="Q186" s="1326"/>
      <c r="R186" s="1327"/>
      <c r="S186" s="265"/>
    </row>
    <row r="187" spans="1:19" ht="16">
      <c r="A187" s="1190" t="s">
        <v>279</v>
      </c>
      <c r="B187" s="910"/>
      <c r="C187" s="910"/>
      <c r="D187" s="910"/>
      <c r="E187" s="910"/>
      <c r="F187" s="910"/>
      <c r="G187" s="910"/>
      <c r="H187" s="910"/>
      <c r="I187" s="910"/>
      <c r="J187" s="910"/>
      <c r="K187" s="910"/>
      <c r="L187" s="910"/>
      <c r="M187" s="910"/>
      <c r="N187" s="1318">
        <f>SUMPRODUCT(N180:N186)</f>
        <v>43570</v>
      </c>
      <c r="O187" s="915"/>
      <c r="P187" s="1312"/>
      <c r="Q187" s="1312"/>
      <c r="R187" s="1313"/>
      <c r="S187" s="265"/>
    </row>
    <row r="188" spans="1:19" ht="16">
      <c r="A188" s="1208"/>
      <c r="B188" s="910"/>
      <c r="C188" s="910"/>
      <c r="D188" s="910"/>
      <c r="E188" s="910"/>
      <c r="F188" s="910"/>
      <c r="G188" s="910"/>
      <c r="H188" s="910"/>
      <c r="I188" s="910"/>
      <c r="J188" s="910"/>
      <c r="K188" s="910"/>
      <c r="L188" s="910"/>
      <c r="M188" s="910"/>
      <c r="N188" s="915"/>
      <c r="O188" s="915"/>
      <c r="P188" s="1312"/>
      <c r="Q188" s="1312"/>
      <c r="R188" s="1313"/>
      <c r="S188" s="265"/>
    </row>
    <row r="189" spans="1:19" ht="17">
      <c r="A189" s="1217" t="s">
        <v>280</v>
      </c>
      <c r="B189" s="273"/>
      <c r="C189" s="273"/>
      <c r="D189" s="273"/>
      <c r="E189" s="273"/>
      <c r="F189" s="273"/>
      <c r="G189" s="273"/>
      <c r="H189" s="273"/>
      <c r="I189" s="273"/>
      <c r="J189" s="273"/>
      <c r="K189" s="273"/>
      <c r="L189" s="273"/>
      <c r="M189" s="273"/>
      <c r="N189" s="1328">
        <f>N187+N177</f>
        <v>333686.99623847636</v>
      </c>
      <c r="O189" s="1325"/>
      <c r="P189" s="1326"/>
      <c r="Q189" s="1326"/>
      <c r="R189" s="1327"/>
      <c r="S189" s="265"/>
    </row>
    <row r="190" spans="1:19" ht="18" thickBot="1">
      <c r="A190" s="1218" t="s">
        <v>915</v>
      </c>
      <c r="B190" s="1219"/>
      <c r="C190" s="1219"/>
      <c r="D190" s="1219"/>
      <c r="E190" s="1219"/>
      <c r="F190" s="1219"/>
      <c r="G190" s="1219"/>
      <c r="H190" s="1219"/>
      <c r="I190" s="1219"/>
      <c r="J190" s="1219"/>
      <c r="K190" s="1219"/>
      <c r="L190" s="1219"/>
      <c r="M190" s="1219"/>
      <c r="N190" s="1329">
        <f>N189/'MK Bases Model (Base Case)'!E18</f>
        <v>3.7660680737251852E-2</v>
      </c>
      <c r="O190" s="1330"/>
      <c r="P190" s="1331"/>
      <c r="Q190" s="1331"/>
      <c r="R190" s="1332"/>
    </row>
    <row r="191" spans="1:19" ht="13"/>
    <row r="192" spans="1:19" ht="14" thickBot="1">
      <c r="S192" s="931"/>
    </row>
    <row r="193" spans="1:29" ht="52">
      <c r="A193" s="1184" t="s">
        <v>332</v>
      </c>
      <c r="B193" s="1185" t="s">
        <v>238</v>
      </c>
      <c r="C193" s="1185" t="s">
        <v>239</v>
      </c>
      <c r="D193" s="1185" t="s">
        <v>240</v>
      </c>
      <c r="E193" s="1185" t="s">
        <v>241</v>
      </c>
      <c r="F193" s="1185" t="s">
        <v>242</v>
      </c>
      <c r="G193" s="1185" t="s">
        <v>243</v>
      </c>
      <c r="H193" s="1185" t="s">
        <v>244</v>
      </c>
      <c r="I193" s="1185" t="s">
        <v>245</v>
      </c>
      <c r="J193" s="1185" t="s">
        <v>246</v>
      </c>
      <c r="K193" s="1185" t="s">
        <v>247</v>
      </c>
      <c r="L193" s="1185" t="s">
        <v>248</v>
      </c>
      <c r="M193" s="1185" t="s">
        <v>249</v>
      </c>
      <c r="N193" s="1185" t="s">
        <v>250</v>
      </c>
      <c r="O193" s="1185" t="s">
        <v>251</v>
      </c>
      <c r="P193" s="1186" t="s">
        <v>252</v>
      </c>
      <c r="Q193" s="1186" t="s">
        <v>253</v>
      </c>
      <c r="R193" s="1187" t="s">
        <v>254</v>
      </c>
      <c r="S193" s="932"/>
      <c r="T193" s="299" t="s">
        <v>316</v>
      </c>
      <c r="U193" s="300" t="s">
        <v>317</v>
      </c>
      <c r="V193" s="301" t="s">
        <v>318</v>
      </c>
      <c r="W193" s="301" t="s">
        <v>319</v>
      </c>
      <c r="X193" s="301" t="s">
        <v>320</v>
      </c>
      <c r="Y193" s="301" t="s">
        <v>4</v>
      </c>
      <c r="Z193" s="301" t="s">
        <v>321</v>
      </c>
      <c r="AA193" s="302" t="s">
        <v>322</v>
      </c>
      <c r="AB193" s="303" t="s">
        <v>323</v>
      </c>
      <c r="AC193" s="315" t="s">
        <v>324</v>
      </c>
    </row>
    <row r="194" spans="1:29" s="903" customFormat="1" ht="25">
      <c r="A194" s="2005" t="s">
        <v>940</v>
      </c>
      <c r="B194" s="2006"/>
      <c r="C194" s="2006"/>
      <c r="D194" s="2006"/>
      <c r="E194" s="2006"/>
      <c r="F194" s="2006"/>
      <c r="G194" s="2006"/>
      <c r="H194" s="2006"/>
      <c r="I194" s="2006"/>
      <c r="J194" s="2006"/>
      <c r="K194" s="2006"/>
      <c r="L194" s="2006"/>
      <c r="M194" s="2006"/>
      <c r="N194" s="2006"/>
      <c r="O194" s="2006"/>
      <c r="P194" s="2006"/>
      <c r="Q194" s="2006"/>
      <c r="R194" s="2007"/>
      <c r="S194" s="932"/>
      <c r="T194" s="299"/>
      <c r="U194" s="300"/>
      <c r="V194" s="301"/>
      <c r="W194" s="301"/>
      <c r="X194" s="301"/>
      <c r="Y194" s="301"/>
      <c r="Z194" s="301"/>
      <c r="AA194" s="302"/>
      <c r="AB194" s="303"/>
      <c r="AC194" s="315"/>
    </row>
    <row r="195" spans="1:29" ht="17">
      <c r="A195" s="993" t="s">
        <v>912</v>
      </c>
      <c r="B195" s="910"/>
      <c r="C195" s="910"/>
      <c r="D195" s="910"/>
      <c r="E195" s="910"/>
      <c r="F195" s="910"/>
      <c r="G195" s="910"/>
      <c r="H195" s="910"/>
      <c r="I195" s="910"/>
      <c r="J195" s="910"/>
      <c r="K195" s="910"/>
      <c r="L195" s="910"/>
      <c r="M195" s="910"/>
      <c r="N195" s="910"/>
      <c r="O195" s="910"/>
      <c r="P195" s="1188"/>
      <c r="Q195" s="1188"/>
      <c r="R195" s="1189"/>
      <c r="S195" s="917"/>
      <c r="T195" s="304" t="s">
        <v>325</v>
      </c>
      <c r="U195" s="1563">
        <f>2100000</f>
        <v>2100000</v>
      </c>
      <c r="V195" s="305">
        <f>0.7*0.74</f>
        <v>0.51800000000000002</v>
      </c>
      <c r="W195" s="1562">
        <v>73500</v>
      </c>
      <c r="X195" s="1562">
        <v>48900</v>
      </c>
      <c r="Y195" s="305">
        <f t="shared" ref="Y195:Y198" si="1">X195/W195</f>
        <v>0.66530612244897958</v>
      </c>
      <c r="Z195" s="306">
        <f t="shared" ref="Z195:Z198" si="2">Y195*U195</f>
        <v>1397142.857142857</v>
      </c>
      <c r="AA195" s="307">
        <f t="shared" ref="AA195:AA198" si="3">(W195/Z195)*1000</f>
        <v>52.607361963190186</v>
      </c>
      <c r="AB195" s="287">
        <f t="shared" ref="AB195:AB198" si="4">(X195/Z195)*1000</f>
        <v>35</v>
      </c>
      <c r="AC195" s="316">
        <f>Z195/4/('MK Segmentation'!$A$4)</f>
        <v>2.1079403396844554E-2</v>
      </c>
    </row>
    <row r="196" spans="1:29" ht="16">
      <c r="A196" s="993" t="s">
        <v>223</v>
      </c>
      <c r="B196" s="910"/>
      <c r="C196" s="910"/>
      <c r="D196" s="910"/>
      <c r="E196" s="910"/>
      <c r="F196" s="910"/>
      <c r="G196" s="910"/>
      <c r="H196" s="910"/>
      <c r="I196" s="910"/>
      <c r="J196" s="910"/>
      <c r="K196" s="910"/>
      <c r="L196" s="910"/>
      <c r="M196" s="910"/>
      <c r="N196" s="910"/>
      <c r="O196" s="910"/>
      <c r="P196" s="1188"/>
      <c r="Q196" s="1188"/>
      <c r="R196" s="1189"/>
      <c r="S196" s="917"/>
      <c r="T196" s="308" t="s">
        <v>326</v>
      </c>
      <c r="U196" s="1563">
        <v>250000</v>
      </c>
      <c r="V196" s="305">
        <f>0.96*0.74</f>
        <v>0.71039999999999992</v>
      </c>
      <c r="W196" s="1562">
        <v>6690</v>
      </c>
      <c r="X196" s="1562">
        <v>3890</v>
      </c>
      <c r="Y196" s="305">
        <f t="shared" si="1"/>
        <v>0.58146487294469362</v>
      </c>
      <c r="Z196" s="309">
        <f t="shared" si="2"/>
        <v>145366.21823617342</v>
      </c>
      <c r="AA196" s="307">
        <f t="shared" si="3"/>
        <v>46.021696658097682</v>
      </c>
      <c r="AB196" s="287">
        <f t="shared" si="4"/>
        <v>26.759999999999994</v>
      </c>
      <c r="AC196" s="316">
        <f>Z196/4/('MK Segmentation'!$A$4)</f>
        <v>2.1932139142452236E-3</v>
      </c>
    </row>
    <row r="197" spans="1:29" ht="16">
      <c r="A197" s="1190" t="s">
        <v>224</v>
      </c>
      <c r="B197" s="910"/>
      <c r="C197" s="910"/>
      <c r="D197" s="910"/>
      <c r="E197" s="910"/>
      <c r="F197" s="910"/>
      <c r="G197" s="910"/>
      <c r="H197" s="910"/>
      <c r="I197" s="910"/>
      <c r="J197" s="910"/>
      <c r="K197" s="910"/>
      <c r="L197" s="910"/>
      <c r="M197" s="910"/>
      <c r="N197" s="910"/>
      <c r="O197" s="910"/>
      <c r="P197" s="1188"/>
      <c r="Q197" s="1188"/>
      <c r="R197" s="1189"/>
      <c r="S197" s="917"/>
      <c r="T197" s="308" t="s">
        <v>327</v>
      </c>
      <c r="U197" s="1564" t="s">
        <v>328</v>
      </c>
      <c r="V197" s="305">
        <f>0.7*0.74</f>
        <v>0.51800000000000002</v>
      </c>
      <c r="W197" s="1562">
        <v>18400</v>
      </c>
      <c r="X197" s="1562">
        <v>10600</v>
      </c>
      <c r="Y197" s="305">
        <f t="shared" si="1"/>
        <v>0.57608695652173914</v>
      </c>
      <c r="Z197" s="309">
        <f t="shared" si="2"/>
        <v>293804.34782608697</v>
      </c>
      <c r="AA197" s="307">
        <f t="shared" si="3"/>
        <v>62.626711061783205</v>
      </c>
      <c r="AB197" s="287">
        <f t="shared" si="4"/>
        <v>36.078431372549019</v>
      </c>
      <c r="AC197" s="316">
        <f>Z197/4/('MK Segmentation'!$A$4)</f>
        <v>4.4327753142137443E-3</v>
      </c>
    </row>
    <row r="198" spans="1:29" ht="17">
      <c r="A198" s="1191" t="s">
        <v>306</v>
      </c>
      <c r="B198" s="910"/>
      <c r="C198" s="910"/>
      <c r="D198" s="910"/>
      <c r="E198" s="910"/>
      <c r="F198" s="910"/>
      <c r="G198" s="910"/>
      <c r="H198" s="910"/>
      <c r="I198" s="910"/>
      <c r="J198" s="910"/>
      <c r="K198" s="910"/>
      <c r="L198" s="910"/>
      <c r="M198" s="910"/>
      <c r="N198" s="922">
        <f>SUM(N199:N202)</f>
        <v>109100</v>
      </c>
      <c r="O198" s="910"/>
      <c r="P198" s="912">
        <f t="shared" ref="P198:Q198" si="5">SUM(P199:P202)</f>
        <v>1.6199999999999999E-2</v>
      </c>
      <c r="Q198" s="912">
        <f t="shared" si="5"/>
        <v>0</v>
      </c>
      <c r="R198" s="1201">
        <f>SUM(R199:R202)</f>
        <v>3.0072161033354711E-2</v>
      </c>
      <c r="S198" s="917"/>
      <c r="T198" s="308" t="s">
        <v>329</v>
      </c>
      <c r="U198" s="1563">
        <v>270500</v>
      </c>
      <c r="V198" s="305">
        <f>0.96*0.74</f>
        <v>0.71039999999999992</v>
      </c>
      <c r="W198" s="1562">
        <v>10510</v>
      </c>
      <c r="X198" s="1562">
        <v>6095</v>
      </c>
      <c r="Y198" s="305">
        <f t="shared" si="1"/>
        <v>0.57992388201712652</v>
      </c>
      <c r="Z198" s="310">
        <f t="shared" si="2"/>
        <v>156869.41008563273</v>
      </c>
      <c r="AA198" s="307">
        <f t="shared" si="3"/>
        <v>66.998403285017417</v>
      </c>
      <c r="AB198" s="287">
        <f t="shared" si="4"/>
        <v>38.853974121996302</v>
      </c>
      <c r="AC198" s="316">
        <f>Z198/4/('MK Segmentation'!$A$4)</f>
        <v>2.3667684080511879E-3</v>
      </c>
    </row>
    <row r="199" spans="1:29" ht="17">
      <c r="A199" s="1212" t="s">
        <v>307</v>
      </c>
      <c r="B199" s="910"/>
      <c r="C199" s="910"/>
      <c r="D199" s="1227"/>
      <c r="E199" s="910"/>
      <c r="F199" s="910"/>
      <c r="G199" s="1227"/>
      <c r="H199" s="910"/>
      <c r="I199" s="910"/>
      <c r="J199" s="1227"/>
      <c r="K199" s="910"/>
      <c r="L199" s="910"/>
      <c r="M199" s="1227"/>
      <c r="N199" s="1196">
        <f>W195</f>
        <v>73500</v>
      </c>
      <c r="O199" s="1196">
        <v>53</v>
      </c>
      <c r="P199" s="912">
        <v>1.1299999999999999E-2</v>
      </c>
      <c r="Q199" s="912">
        <f>K241</f>
        <v>0</v>
      </c>
      <c r="R199" s="1228">
        <f>AC195</f>
        <v>2.1079403396844554E-2</v>
      </c>
      <c r="S199" s="3"/>
      <c r="T199" s="3"/>
      <c r="U199" s="3"/>
      <c r="V199" s="3"/>
      <c r="W199" s="3"/>
      <c r="X199" s="3"/>
      <c r="Y199" s="3"/>
      <c r="Z199" s="3"/>
      <c r="AA199" s="3"/>
      <c r="AB199" s="3"/>
      <c r="AC199" s="317">
        <f>SUM(AC195:AC198)</f>
        <v>3.0072161033354711E-2</v>
      </c>
    </row>
    <row r="200" spans="1:29" ht="17">
      <c r="A200" s="1212" t="s">
        <v>333</v>
      </c>
      <c r="B200" s="1227"/>
      <c r="C200" s="910"/>
      <c r="D200" s="1227"/>
      <c r="E200" s="910"/>
      <c r="F200" s="1227"/>
      <c r="G200" s="910"/>
      <c r="H200" s="1227"/>
      <c r="I200" s="910"/>
      <c r="J200" s="1227"/>
      <c r="K200" s="910"/>
      <c r="L200" s="1227"/>
      <c r="M200" s="910"/>
      <c r="N200" s="1196">
        <v>6690</v>
      </c>
      <c r="O200" s="1196">
        <v>46</v>
      </c>
      <c r="P200" s="912">
        <v>1.1999999999999999E-3</v>
      </c>
      <c r="Q200" s="912">
        <f>K242</f>
        <v>0</v>
      </c>
      <c r="R200" s="1228">
        <f>AC196</f>
        <v>2.1932139142452236E-3</v>
      </c>
      <c r="S200" s="3"/>
      <c r="T200" s="3"/>
      <c r="U200" s="3"/>
      <c r="V200" s="3"/>
      <c r="W200" s="3"/>
      <c r="X200" s="3"/>
      <c r="Y200" s="3"/>
      <c r="Z200" s="3"/>
      <c r="AA200" s="3"/>
      <c r="AB200" s="3"/>
      <c r="AC200" s="3"/>
    </row>
    <row r="201" spans="1:29" ht="51">
      <c r="A201" s="1212" t="s">
        <v>334</v>
      </c>
      <c r="B201" s="1227"/>
      <c r="C201" s="910"/>
      <c r="D201" s="1227"/>
      <c r="E201" s="910"/>
      <c r="F201" s="1227"/>
      <c r="G201" s="910"/>
      <c r="H201" s="1227"/>
      <c r="I201" s="910"/>
      <c r="J201" s="1227"/>
      <c r="K201" s="910"/>
      <c r="L201" s="1227"/>
      <c r="M201" s="910"/>
      <c r="N201" s="1196">
        <v>18400</v>
      </c>
      <c r="O201" s="1196">
        <v>63</v>
      </c>
      <c r="P201" s="912">
        <v>2.3999999999999998E-3</v>
      </c>
      <c r="Q201" s="912">
        <f>K243</f>
        <v>0</v>
      </c>
      <c r="R201" s="1228">
        <f>AC197</f>
        <v>4.4327753142137443E-3</v>
      </c>
      <c r="S201" s="3"/>
      <c r="T201" s="279" t="s">
        <v>283</v>
      </c>
      <c r="U201" s="282" t="s">
        <v>284</v>
      </c>
      <c r="V201" s="282" t="s">
        <v>285</v>
      </c>
      <c r="W201" s="281" t="s">
        <v>287</v>
      </c>
      <c r="X201" s="3"/>
      <c r="Y201" s="209"/>
      <c r="Z201" s="3"/>
      <c r="AA201" s="3"/>
      <c r="AB201" s="3"/>
      <c r="AC201" s="44"/>
    </row>
    <row r="202" spans="1:29" ht="17">
      <c r="A202" s="1212" t="s">
        <v>335</v>
      </c>
      <c r="B202" s="1227"/>
      <c r="C202" s="910"/>
      <c r="D202" s="1227"/>
      <c r="E202" s="910"/>
      <c r="F202" s="1227"/>
      <c r="G202" s="910"/>
      <c r="H202" s="1227"/>
      <c r="I202" s="910"/>
      <c r="J202" s="1227"/>
      <c r="K202" s="910"/>
      <c r="L202" s="1227"/>
      <c r="M202" s="910"/>
      <c r="N202" s="1196">
        <v>10510</v>
      </c>
      <c r="O202" s="1196">
        <v>67</v>
      </c>
      <c r="P202" s="912">
        <v>1.2999999999999999E-3</v>
      </c>
      <c r="Q202" s="912">
        <f>K244</f>
        <v>0</v>
      </c>
      <c r="R202" s="1228">
        <f>AC198</f>
        <v>2.3667684080511879E-3</v>
      </c>
      <c r="S202" s="3"/>
      <c r="T202" s="284" t="s">
        <v>291</v>
      </c>
      <c r="U202" s="1557">
        <v>4000</v>
      </c>
      <c r="V202" s="1557">
        <v>4000</v>
      </c>
      <c r="W202" s="1557">
        <v>4000</v>
      </c>
      <c r="X202" s="3"/>
      <c r="Y202" s="318"/>
      <c r="Z202" s="3"/>
      <c r="AA202" s="3"/>
      <c r="AB202" s="3"/>
      <c r="AC202" s="3"/>
    </row>
    <row r="203" spans="1:29" ht="17">
      <c r="A203" s="1192" t="s">
        <v>226</v>
      </c>
      <c r="B203" s="910"/>
      <c r="C203" s="910"/>
      <c r="D203" s="910"/>
      <c r="E203" s="910"/>
      <c r="F203" s="910"/>
      <c r="G203" s="910"/>
      <c r="H203" s="910"/>
      <c r="I203" s="910"/>
      <c r="J203" s="910"/>
      <c r="K203" s="910"/>
      <c r="L203" s="910"/>
      <c r="M203" s="910"/>
      <c r="N203" s="1232">
        <v>42960</v>
      </c>
      <c r="O203" s="910"/>
      <c r="P203" s="912">
        <f>'MK IMC Schedule Y1-Y5'!P200*1.67</f>
        <v>2.0039999999999997E-3</v>
      </c>
      <c r="Q203" s="912">
        <f>'MK IMC Schedule Y1-Y5'!Q200*1.67</f>
        <v>0</v>
      </c>
      <c r="R203" s="1193">
        <f>R9*1.67</f>
        <v>4.3045919999999994E-2</v>
      </c>
      <c r="S203" s="238" t="s">
        <v>311</v>
      </c>
      <c r="T203" s="284" t="s">
        <v>294</v>
      </c>
      <c r="U203" s="1557">
        <v>5000</v>
      </c>
      <c r="V203" s="294"/>
      <c r="W203" s="294"/>
      <c r="X203" s="3"/>
      <c r="Y203" s="3"/>
      <c r="Z203" s="3"/>
      <c r="AA203" s="3"/>
      <c r="AB203" s="3"/>
      <c r="AC203" s="3"/>
    </row>
    <row r="204" spans="1:29" ht="17">
      <c r="A204" s="1194" t="s">
        <v>256</v>
      </c>
      <c r="B204" s="910"/>
      <c r="C204" s="910"/>
      <c r="D204" s="910"/>
      <c r="E204" s="910"/>
      <c r="F204" s="1195"/>
      <c r="G204" s="910"/>
      <c r="H204" s="910"/>
      <c r="I204" s="910"/>
      <c r="J204" s="910"/>
      <c r="K204" s="910"/>
      <c r="L204" s="910"/>
      <c r="M204" s="1195"/>
      <c r="N204" s="1211"/>
      <c r="O204" s="910"/>
      <c r="P204" s="1188"/>
      <c r="Q204" s="1188"/>
      <c r="R204" s="1189"/>
      <c r="S204" s="3"/>
      <c r="T204" s="284" t="s">
        <v>296</v>
      </c>
      <c r="U204" s="1557">
        <v>4000</v>
      </c>
      <c r="V204" s="1557">
        <v>4000</v>
      </c>
      <c r="W204" s="1557">
        <v>4000</v>
      </c>
      <c r="X204" s="3"/>
      <c r="Y204" s="318"/>
      <c r="Z204" s="3"/>
      <c r="AA204" s="3"/>
      <c r="AB204" s="3"/>
      <c r="AC204" s="3"/>
    </row>
    <row r="205" spans="1:29" ht="17">
      <c r="A205" s="1194" t="s">
        <v>257</v>
      </c>
      <c r="B205" s="910"/>
      <c r="C205" s="1195"/>
      <c r="D205" s="910"/>
      <c r="E205" s="910"/>
      <c r="F205" s="910"/>
      <c r="G205" s="910"/>
      <c r="H205" s="910"/>
      <c r="I205" s="910"/>
      <c r="J205" s="910"/>
      <c r="K205" s="910"/>
      <c r="L205" s="1195"/>
      <c r="M205" s="910"/>
      <c r="N205" s="1211"/>
      <c r="O205" s="910"/>
      <c r="P205" s="1197"/>
      <c r="Q205" s="1197"/>
      <c r="R205" s="1189"/>
      <c r="S205" s="3"/>
      <c r="T205" s="282" t="s">
        <v>298</v>
      </c>
      <c r="U205" s="287"/>
      <c r="V205" s="285"/>
      <c r="W205" s="285">
        <f>SUM(U202:W204)</f>
        <v>29000</v>
      </c>
      <c r="X205" s="3"/>
      <c r="Y205" s="319"/>
      <c r="Z205" s="3"/>
      <c r="AA205" s="3"/>
      <c r="AB205" s="3"/>
      <c r="AC205" s="312"/>
    </row>
    <row r="206" spans="1:29" ht="17">
      <c r="A206" s="1194" t="s">
        <v>258</v>
      </c>
      <c r="B206" s="910"/>
      <c r="C206" s="910"/>
      <c r="D206" s="910"/>
      <c r="E206" s="910"/>
      <c r="F206" s="910"/>
      <c r="G206" s="910"/>
      <c r="H206" s="910"/>
      <c r="I206" s="1195"/>
      <c r="J206" s="910"/>
      <c r="K206" s="910"/>
      <c r="L206" s="910"/>
      <c r="M206" s="910"/>
      <c r="N206" s="1211"/>
      <c r="O206" s="910"/>
      <c r="P206" s="1197"/>
      <c r="Q206" s="1197"/>
      <c r="R206" s="1189"/>
      <c r="S206" s="3"/>
    </row>
    <row r="207" spans="1:29" ht="17">
      <c r="A207" s="1194" t="s">
        <v>259</v>
      </c>
      <c r="B207" s="910"/>
      <c r="C207" s="910"/>
      <c r="D207" s="910"/>
      <c r="E207" s="910"/>
      <c r="F207" s="910"/>
      <c r="G207" s="910"/>
      <c r="H207" s="910"/>
      <c r="I207" s="910"/>
      <c r="J207" s="1195"/>
      <c r="K207" s="910"/>
      <c r="L207" s="910"/>
      <c r="M207" s="910"/>
      <c r="N207" s="1211"/>
      <c r="O207" s="910"/>
      <c r="P207" s="1197"/>
      <c r="Q207" s="1197"/>
      <c r="R207" s="1189"/>
      <c r="S207" s="3"/>
    </row>
    <row r="208" spans="1:29" ht="17">
      <c r="A208" s="1194" t="s">
        <v>260</v>
      </c>
      <c r="B208" s="910"/>
      <c r="C208" s="910"/>
      <c r="D208" s="1195"/>
      <c r="E208" s="910"/>
      <c r="F208" s="910"/>
      <c r="G208" s="910"/>
      <c r="H208" s="910"/>
      <c r="I208" s="910"/>
      <c r="J208" s="910"/>
      <c r="K208" s="910"/>
      <c r="L208" s="910"/>
      <c r="M208" s="910"/>
      <c r="N208" s="1211"/>
      <c r="O208" s="910"/>
      <c r="P208" s="1197"/>
      <c r="Q208" s="1197"/>
      <c r="R208" s="1189"/>
      <c r="S208" s="3"/>
    </row>
    <row r="209" spans="1:19" ht="17">
      <c r="A209" s="1194" t="s">
        <v>261</v>
      </c>
      <c r="B209" s="910"/>
      <c r="C209" s="910"/>
      <c r="D209" s="910"/>
      <c r="E209" s="910"/>
      <c r="F209" s="1195"/>
      <c r="G209" s="910"/>
      <c r="H209" s="910"/>
      <c r="I209" s="910"/>
      <c r="J209" s="910"/>
      <c r="K209" s="910"/>
      <c r="L209" s="910"/>
      <c r="M209" s="910"/>
      <c r="N209" s="1211"/>
      <c r="O209" s="910"/>
      <c r="P209" s="1197"/>
      <c r="Q209" s="1197"/>
      <c r="R209" s="1189"/>
      <c r="S209" s="3"/>
    </row>
    <row r="210" spans="1:19" ht="17">
      <c r="A210" s="1194" t="s">
        <v>262</v>
      </c>
      <c r="B210" s="910"/>
      <c r="C210" s="910"/>
      <c r="D210" s="910"/>
      <c r="E210" s="910"/>
      <c r="F210" s="910"/>
      <c r="G210" s="910"/>
      <c r="H210" s="1195"/>
      <c r="I210" s="910"/>
      <c r="J210" s="910"/>
      <c r="K210" s="910"/>
      <c r="L210" s="910"/>
      <c r="M210" s="910"/>
      <c r="N210" s="1211"/>
      <c r="O210" s="910"/>
      <c r="P210" s="1197"/>
      <c r="Q210" s="1197"/>
      <c r="R210" s="1189"/>
      <c r="S210" s="3"/>
    </row>
    <row r="211" spans="1:19" ht="17">
      <c r="A211" s="1194" t="s">
        <v>263</v>
      </c>
      <c r="B211" s="910"/>
      <c r="C211" s="910"/>
      <c r="D211" s="910"/>
      <c r="E211" s="910"/>
      <c r="F211" s="910"/>
      <c r="G211" s="910"/>
      <c r="H211" s="910"/>
      <c r="I211" s="910"/>
      <c r="J211" s="910"/>
      <c r="K211" s="1195"/>
      <c r="L211" s="910"/>
      <c r="M211" s="910"/>
      <c r="N211" s="1211"/>
      <c r="O211" s="910"/>
      <c r="P211" s="1197"/>
      <c r="Q211" s="1197"/>
      <c r="R211" s="1189"/>
      <c r="S211" s="3"/>
    </row>
    <row r="212" spans="1:19" ht="16">
      <c r="A212" s="1192" t="s">
        <v>312</v>
      </c>
      <c r="B212" s="911"/>
      <c r="C212" s="911"/>
      <c r="D212" s="911"/>
      <c r="E212" s="911"/>
      <c r="F212" s="911"/>
      <c r="G212" s="911"/>
      <c r="H212" s="911"/>
      <c r="I212" s="911"/>
      <c r="J212" s="911"/>
      <c r="K212" s="911"/>
      <c r="L212" s="911"/>
      <c r="M212" s="911"/>
      <c r="N212" s="922">
        <f>0.25*159044</f>
        <v>39761</v>
      </c>
      <c r="O212" s="910"/>
      <c r="P212" s="912">
        <v>0.06</v>
      </c>
      <c r="Q212" s="912">
        <v>0.06</v>
      </c>
      <c r="R212" s="1193">
        <v>0.08</v>
      </c>
      <c r="S212" s="3"/>
    </row>
    <row r="213" spans="1:19" ht="17">
      <c r="A213" s="1198" t="s">
        <v>313</v>
      </c>
      <c r="B213" s="910"/>
      <c r="C213" s="910"/>
      <c r="D213" s="910"/>
      <c r="E213" s="910"/>
      <c r="F213" s="910"/>
      <c r="G213" s="910"/>
      <c r="H213" s="1223"/>
      <c r="I213" s="1223"/>
      <c r="J213" s="910"/>
      <c r="K213" s="910"/>
      <c r="L213" s="910"/>
      <c r="M213" s="910"/>
      <c r="N213" s="922">
        <v>6200</v>
      </c>
      <c r="O213" s="910"/>
      <c r="P213" s="912">
        <v>7.4999999999999997E-3</v>
      </c>
      <c r="Q213" s="912">
        <v>2.5000000000000001E-3</v>
      </c>
      <c r="R213" s="1193">
        <v>0.01</v>
      </c>
      <c r="S213" s="3"/>
    </row>
    <row r="214" spans="1:19" ht="17">
      <c r="A214" s="1198" t="s">
        <v>264</v>
      </c>
      <c r="B214" s="910"/>
      <c r="C214" s="910"/>
      <c r="D214" s="910"/>
      <c r="E214" s="910"/>
      <c r="F214" s="910"/>
      <c r="G214" s="910"/>
      <c r="H214" s="910"/>
      <c r="I214" s="910"/>
      <c r="J214" s="910"/>
      <c r="K214" s="910"/>
      <c r="L214" s="910"/>
      <c r="M214" s="910"/>
      <c r="N214" s="922">
        <v>11069</v>
      </c>
      <c r="O214" s="910"/>
      <c r="P214" s="1188"/>
      <c r="Q214" s="1188"/>
      <c r="R214" s="1189"/>
      <c r="S214" s="3"/>
    </row>
    <row r="215" spans="1:19" ht="16">
      <c r="A215" s="1190" t="s">
        <v>229</v>
      </c>
      <c r="B215" s="910"/>
      <c r="C215" s="910"/>
      <c r="D215" s="910"/>
      <c r="E215" s="910"/>
      <c r="F215" s="910"/>
      <c r="G215" s="910"/>
      <c r="H215" s="910"/>
      <c r="I215" s="910"/>
      <c r="J215" s="910"/>
      <c r="K215" s="910"/>
      <c r="L215" s="910"/>
      <c r="M215" s="910"/>
      <c r="N215" s="922"/>
      <c r="O215" s="910"/>
      <c r="P215" s="912"/>
      <c r="Q215" s="912"/>
      <c r="R215" s="1228"/>
      <c r="S215" s="3"/>
    </row>
    <row r="216" spans="1:19" ht="17">
      <c r="A216" s="1198" t="s">
        <v>230</v>
      </c>
      <c r="B216" s="910"/>
      <c r="C216" s="910"/>
      <c r="D216" s="910"/>
      <c r="E216" s="910"/>
      <c r="F216" s="910"/>
      <c r="G216" s="910"/>
      <c r="H216" s="910"/>
      <c r="I216" s="910"/>
      <c r="J216" s="910"/>
      <c r="K216" s="910"/>
      <c r="L216" s="910"/>
      <c r="M216" s="910"/>
      <c r="N216" s="922">
        <v>20000</v>
      </c>
      <c r="O216" s="910"/>
      <c r="P216" s="912">
        <v>0.01</v>
      </c>
      <c r="Q216" s="912">
        <v>0.01</v>
      </c>
      <c r="R216" s="1193">
        <v>0.02</v>
      </c>
      <c r="S216" s="3"/>
    </row>
    <row r="217" spans="1:19" ht="34">
      <c r="A217" s="1194" t="s">
        <v>265</v>
      </c>
      <c r="B217" s="1199"/>
      <c r="C217" s="910"/>
      <c r="D217" s="1199"/>
      <c r="E217" s="910"/>
      <c r="F217" s="1200"/>
      <c r="G217" s="1199"/>
      <c r="H217" s="1199"/>
      <c r="I217" s="910"/>
      <c r="J217" s="1199"/>
      <c r="K217" s="910"/>
      <c r="L217" s="1199"/>
      <c r="M217" s="1199"/>
      <c r="N217" s="910"/>
      <c r="O217" s="910"/>
      <c r="P217" s="1188"/>
      <c r="Q217" s="1188"/>
      <c r="R217" s="1189"/>
      <c r="S217" s="3"/>
    </row>
    <row r="218" spans="1:19" ht="51">
      <c r="A218" s="1194" t="s">
        <v>266</v>
      </c>
      <c r="B218" s="910"/>
      <c r="C218" s="910"/>
      <c r="D218" s="910"/>
      <c r="E218" s="1199"/>
      <c r="F218" s="1199"/>
      <c r="G218" s="1199"/>
      <c r="H218" s="910"/>
      <c r="I218" s="910"/>
      <c r="J218" s="910"/>
      <c r="K218" s="1199"/>
      <c r="L218" s="1199"/>
      <c r="M218" s="1199"/>
      <c r="N218" s="910"/>
      <c r="O218" s="910"/>
      <c r="P218" s="1188"/>
      <c r="Q218" s="1188"/>
      <c r="R218" s="1189"/>
      <c r="S218" s="3"/>
    </row>
    <row r="219" spans="1:19" ht="16">
      <c r="A219" s="1192" t="s">
        <v>304</v>
      </c>
      <c r="B219" s="1223"/>
      <c r="C219" s="1223"/>
      <c r="D219" s="1223"/>
      <c r="E219" s="1223"/>
      <c r="F219" s="1223"/>
      <c r="G219" s="1223"/>
      <c r="H219" s="1223"/>
      <c r="I219" s="1223"/>
      <c r="J219" s="1223"/>
      <c r="K219" s="1223"/>
      <c r="L219" s="1223"/>
      <c r="M219" s="1223"/>
      <c r="N219" s="922"/>
      <c r="O219" s="910"/>
      <c r="P219" s="912">
        <v>2.5000000000000001E-3</v>
      </c>
      <c r="Q219" s="912">
        <v>2.5000000000000001E-3</v>
      </c>
      <c r="R219" s="1193">
        <v>8.8999999999999999E-3</v>
      </c>
      <c r="S219" s="3"/>
    </row>
    <row r="220" spans="1:19" ht="17">
      <c r="A220" s="1198" t="s">
        <v>232</v>
      </c>
      <c r="B220" s="910"/>
      <c r="C220" s="910"/>
      <c r="D220" s="910"/>
      <c r="E220" s="910"/>
      <c r="F220" s="910"/>
      <c r="G220" s="910"/>
      <c r="H220" s="910"/>
      <c r="I220" s="910"/>
      <c r="J220" s="910"/>
      <c r="K220" s="910"/>
      <c r="L220" s="910"/>
      <c r="M220" s="910"/>
      <c r="N220" s="922"/>
      <c r="O220" s="910"/>
      <c r="P220" s="1188"/>
      <c r="Q220" s="1188"/>
      <c r="R220" s="1233">
        <v>0.02</v>
      </c>
      <c r="S220" s="3"/>
    </row>
    <row r="221" spans="1:19" ht="16">
      <c r="A221" s="1190" t="s">
        <v>233</v>
      </c>
      <c r="B221" s="910"/>
      <c r="C221" s="910"/>
      <c r="D221" s="910"/>
      <c r="E221" s="910"/>
      <c r="F221" s="910"/>
      <c r="G221" s="910"/>
      <c r="H221" s="910"/>
      <c r="I221" s="910"/>
      <c r="J221" s="910"/>
      <c r="K221" s="910"/>
      <c r="L221" s="910"/>
      <c r="M221" s="910"/>
      <c r="N221" s="922"/>
      <c r="O221" s="910"/>
      <c r="P221" s="912"/>
      <c r="Q221" s="912"/>
      <c r="R221" s="1228"/>
      <c r="S221" s="3"/>
    </row>
    <row r="222" spans="1:19" ht="16">
      <c r="A222" s="1192" t="s">
        <v>234</v>
      </c>
      <c r="B222" s="911"/>
      <c r="C222" s="911"/>
      <c r="D222" s="911"/>
      <c r="E222" s="911"/>
      <c r="F222" s="911"/>
      <c r="G222" s="911"/>
      <c r="H222" s="911"/>
      <c r="I222" s="911"/>
      <c r="J222" s="911"/>
      <c r="K222" s="911"/>
      <c r="L222" s="911"/>
      <c r="M222" s="911"/>
      <c r="N222" s="922">
        <v>11250</v>
      </c>
      <c r="O222" s="910"/>
      <c r="P222" s="912">
        <v>5.0000000000000001E-3</v>
      </c>
      <c r="Q222" s="912">
        <v>5.0000000000000001E-3</v>
      </c>
      <c r="R222" s="1193">
        <v>0.03</v>
      </c>
      <c r="S222" s="3"/>
    </row>
    <row r="223" spans="1:19" s="903" customFormat="1" ht="16">
      <c r="A223" s="1192" t="s">
        <v>267</v>
      </c>
      <c r="B223" s="911"/>
      <c r="C223" s="911"/>
      <c r="D223" s="911"/>
      <c r="E223" s="911"/>
      <c r="F223" s="911"/>
      <c r="G223" s="911"/>
      <c r="H223" s="911"/>
      <c r="I223" s="911"/>
      <c r="J223" s="911"/>
      <c r="K223" s="911"/>
      <c r="L223" s="911"/>
      <c r="M223" s="911"/>
      <c r="N223" s="922">
        <v>1500</v>
      </c>
      <c r="O223" s="910"/>
      <c r="P223" s="912">
        <v>0</v>
      </c>
      <c r="Q223" s="912">
        <v>0</v>
      </c>
      <c r="R223" s="1193">
        <v>0</v>
      </c>
      <c r="S223" s="904"/>
    </row>
    <row r="224" spans="1:19" s="903" customFormat="1" ht="16">
      <c r="A224" s="1190" t="s">
        <v>914</v>
      </c>
      <c r="B224" s="915"/>
      <c r="C224" s="915"/>
      <c r="D224" s="915"/>
      <c r="E224" s="915"/>
      <c r="F224" s="915"/>
      <c r="G224" s="915"/>
      <c r="H224" s="915"/>
      <c r="I224" s="915"/>
      <c r="J224" s="915"/>
      <c r="K224" s="915"/>
      <c r="L224" s="915"/>
      <c r="M224" s="915"/>
      <c r="N224" s="920"/>
      <c r="O224" s="915"/>
      <c r="P224" s="921"/>
      <c r="Q224" s="921"/>
      <c r="R224" s="1229"/>
      <c r="S224" s="904"/>
    </row>
    <row r="225" spans="1:19" ht="16">
      <c r="A225" s="1202" t="s">
        <v>913</v>
      </c>
      <c r="B225" s="913"/>
      <c r="C225" s="913"/>
      <c r="D225" s="913"/>
      <c r="E225" s="913"/>
      <c r="F225" s="913"/>
      <c r="G225" s="913"/>
      <c r="H225" s="913"/>
      <c r="I225" s="913"/>
      <c r="J225" s="913"/>
      <c r="K225" s="913"/>
      <c r="L225" s="913"/>
      <c r="M225" s="913"/>
      <c r="N225" s="919">
        <f>1*'MK Bases Model (Base Case)'!F16</f>
        <v>71384.076452087247</v>
      </c>
      <c r="O225" s="913"/>
      <c r="P225" s="913"/>
      <c r="Q225" s="913"/>
      <c r="R225" s="1224"/>
      <c r="S225" s="3"/>
    </row>
    <row r="226" spans="1:19" ht="16">
      <c r="A226" s="1190" t="s">
        <v>268</v>
      </c>
      <c r="B226" s="910"/>
      <c r="C226" s="910"/>
      <c r="D226" s="910"/>
      <c r="E226" s="910"/>
      <c r="F226" s="910"/>
      <c r="G226" s="910"/>
      <c r="H226" s="910"/>
      <c r="I226" s="910"/>
      <c r="J226" s="910"/>
      <c r="K226" s="910"/>
      <c r="L226" s="910"/>
      <c r="M226" s="910"/>
      <c r="N226" s="1230">
        <f>SUM(N199:N225)</f>
        <v>313224.07645208726</v>
      </c>
      <c r="O226" s="1205">
        <f>SUM(O198:O224)</f>
        <v>229</v>
      </c>
      <c r="P226" s="1206">
        <f>SUM(P199:P224)</f>
        <v>0.103204</v>
      </c>
      <c r="Q226" s="1206">
        <f>SUM(Q199:Q224)</f>
        <v>0.08</v>
      </c>
      <c r="R226" s="1207">
        <f>SUM(R198,R203:R224)</f>
        <v>0.2420180810333547</v>
      </c>
      <c r="S226" s="3"/>
    </row>
    <row r="227" spans="1:19" ht="16">
      <c r="A227" s="1208"/>
      <c r="B227" s="910"/>
      <c r="C227" s="910"/>
      <c r="D227" s="910"/>
      <c r="E227" s="910"/>
      <c r="F227" s="910"/>
      <c r="G227" s="910"/>
      <c r="H227" s="910"/>
      <c r="I227" s="910"/>
      <c r="J227" s="910"/>
      <c r="K227" s="910"/>
      <c r="L227" s="910"/>
      <c r="M227" s="910"/>
      <c r="N227" s="910"/>
      <c r="O227" s="910"/>
      <c r="P227" s="1188"/>
      <c r="Q227" s="1188"/>
      <c r="R227" s="1189"/>
      <c r="S227" s="3"/>
    </row>
    <row r="228" spans="1:19" ht="16">
      <c r="A228" s="993" t="s">
        <v>269</v>
      </c>
      <c r="B228" s="910"/>
      <c r="C228" s="910"/>
      <c r="D228" s="910"/>
      <c r="E228" s="910"/>
      <c r="F228" s="910"/>
      <c r="G228" s="910"/>
      <c r="H228" s="910"/>
      <c r="I228" s="910"/>
      <c r="J228" s="910"/>
      <c r="K228" s="910"/>
      <c r="L228" s="910"/>
      <c r="M228" s="910"/>
      <c r="N228" s="910"/>
      <c r="O228" s="910"/>
      <c r="P228" s="1188"/>
      <c r="Q228" s="1188"/>
      <c r="R228" s="1189"/>
      <c r="S228" s="3"/>
    </row>
    <row r="229" spans="1:19" ht="16">
      <c r="A229" s="1192" t="s">
        <v>270</v>
      </c>
      <c r="B229" s="910"/>
      <c r="C229" s="910"/>
      <c r="D229" s="910"/>
      <c r="E229" s="910"/>
      <c r="F229" s="910"/>
      <c r="G229" s="910"/>
      <c r="H229" s="910"/>
      <c r="I229" s="1196"/>
      <c r="J229" s="910"/>
      <c r="K229" s="910"/>
      <c r="L229" s="910"/>
      <c r="M229" s="910"/>
      <c r="N229" s="1196">
        <v>29000</v>
      </c>
      <c r="O229" s="910"/>
      <c r="P229" s="1188"/>
      <c r="Q229" s="1188"/>
      <c r="R229" s="1189"/>
      <c r="S229" s="3"/>
    </row>
    <row r="230" spans="1:19" ht="16">
      <c r="A230" s="1209" t="s">
        <v>271</v>
      </c>
      <c r="B230" s="910"/>
      <c r="C230" s="910"/>
      <c r="D230" s="1210"/>
      <c r="E230" s="910"/>
      <c r="F230" s="910"/>
      <c r="G230" s="910"/>
      <c r="H230" s="910"/>
      <c r="I230" s="910"/>
      <c r="J230" s="910"/>
      <c r="K230" s="910"/>
      <c r="L230" s="910"/>
      <c r="M230" s="910"/>
      <c r="N230" s="1211"/>
      <c r="O230" s="910"/>
      <c r="P230" s="1188"/>
      <c r="Q230" s="1188"/>
      <c r="R230" s="1189"/>
      <c r="S230" s="3"/>
    </row>
    <row r="231" spans="1:19" ht="16">
      <c r="A231" s="1209" t="s">
        <v>272</v>
      </c>
      <c r="B231" s="910"/>
      <c r="C231" s="910"/>
      <c r="D231" s="910"/>
      <c r="E231" s="910"/>
      <c r="F231" s="910"/>
      <c r="G231" s="910"/>
      <c r="H231" s="910"/>
      <c r="I231" s="1210"/>
      <c r="J231" s="910"/>
      <c r="K231" s="910"/>
      <c r="L231" s="910"/>
      <c r="M231" s="910"/>
      <c r="N231" s="910"/>
      <c r="O231" s="910"/>
      <c r="P231" s="1188"/>
      <c r="Q231" s="1231"/>
      <c r="R231" s="1189"/>
      <c r="S231" s="3"/>
    </row>
    <row r="232" spans="1:19" ht="17">
      <c r="A232" s="1212" t="s">
        <v>274</v>
      </c>
      <c r="B232" s="910"/>
      <c r="C232" s="910"/>
      <c r="D232" s="910"/>
      <c r="E232" s="910"/>
      <c r="F232" s="910"/>
      <c r="G232" s="1213"/>
      <c r="H232" s="910"/>
      <c r="I232" s="910"/>
      <c r="J232" s="910"/>
      <c r="K232" s="910"/>
      <c r="L232" s="910"/>
      <c r="M232" s="910"/>
      <c r="N232" s="910"/>
      <c r="O232" s="910"/>
      <c r="P232" s="1188"/>
      <c r="Q232" s="1188"/>
      <c r="R232" s="1189"/>
      <c r="S232" s="3"/>
    </row>
    <row r="233" spans="1:19" ht="16">
      <c r="A233" s="1192" t="s">
        <v>276</v>
      </c>
      <c r="B233" s="910"/>
      <c r="C233" s="910"/>
      <c r="D233" s="910"/>
      <c r="E233" s="910"/>
      <c r="F233" s="910"/>
      <c r="G233" s="1214"/>
      <c r="H233" s="910"/>
      <c r="I233" s="910"/>
      <c r="J233" s="910"/>
      <c r="K233" s="910"/>
      <c r="L233" s="910"/>
      <c r="M233" s="910"/>
      <c r="N233" s="910"/>
      <c r="O233" s="910"/>
      <c r="P233" s="1188"/>
      <c r="Q233" s="1188"/>
      <c r="R233" s="1189"/>
      <c r="S233" s="3"/>
    </row>
    <row r="234" spans="1:19" ht="16">
      <c r="A234" s="1215" t="s">
        <v>314</v>
      </c>
      <c r="B234" s="273"/>
      <c r="C234" s="276"/>
      <c r="D234" s="273"/>
      <c r="E234" s="273"/>
      <c r="F234" s="273"/>
      <c r="G234" s="273"/>
      <c r="H234" s="276"/>
      <c r="I234" s="273"/>
      <c r="J234" s="276"/>
      <c r="K234" s="273"/>
      <c r="L234" s="273"/>
      <c r="M234" s="273"/>
      <c r="N234" s="314">
        <f>2190*3</f>
        <v>6570</v>
      </c>
      <c r="O234" s="273"/>
      <c r="P234" s="277"/>
      <c r="Q234" s="277"/>
      <c r="R234" s="1216"/>
      <c r="S234" s="3"/>
    </row>
    <row r="235" spans="1:19" ht="16">
      <c r="A235" s="1190" t="s">
        <v>279</v>
      </c>
      <c r="B235" s="910"/>
      <c r="C235" s="910"/>
      <c r="D235" s="910"/>
      <c r="E235" s="910"/>
      <c r="F235" s="910"/>
      <c r="G235" s="910"/>
      <c r="H235" s="910"/>
      <c r="I235" s="910"/>
      <c r="J235" s="910"/>
      <c r="K235" s="910"/>
      <c r="L235" s="910"/>
      <c r="M235" s="910"/>
      <c r="N235" s="1204">
        <f>SUMPRODUCT(N229:N234)</f>
        <v>35570</v>
      </c>
      <c r="O235" s="910"/>
      <c r="P235" s="1188"/>
      <c r="Q235" s="1188"/>
      <c r="R235" s="1189"/>
      <c r="S235" s="3"/>
    </row>
    <row r="236" spans="1:19" ht="16">
      <c r="A236" s="1208"/>
      <c r="B236" s="910"/>
      <c r="C236" s="910"/>
      <c r="D236" s="910"/>
      <c r="E236" s="910"/>
      <c r="F236" s="910"/>
      <c r="G236" s="910"/>
      <c r="H236" s="910"/>
      <c r="I236" s="910"/>
      <c r="J236" s="910"/>
      <c r="K236" s="910"/>
      <c r="L236" s="910"/>
      <c r="M236" s="910"/>
      <c r="N236" s="910"/>
      <c r="O236" s="910"/>
      <c r="P236" s="1188"/>
      <c r="Q236" s="1188"/>
      <c r="R236" s="1189"/>
      <c r="S236" s="3"/>
    </row>
    <row r="237" spans="1:19" ht="17">
      <c r="A237" s="1217" t="s">
        <v>280</v>
      </c>
      <c r="B237" s="273"/>
      <c r="C237" s="273"/>
      <c r="D237" s="273"/>
      <c r="E237" s="273"/>
      <c r="F237" s="273"/>
      <c r="G237" s="273"/>
      <c r="H237" s="273"/>
      <c r="I237" s="273"/>
      <c r="J237" s="273"/>
      <c r="K237" s="273"/>
      <c r="L237" s="273"/>
      <c r="M237" s="273"/>
      <c r="N237" s="278">
        <f>N235+N226</f>
        <v>348794.07645208726</v>
      </c>
      <c r="O237" s="273"/>
      <c r="P237" s="277"/>
      <c r="Q237" s="277"/>
      <c r="R237" s="1216"/>
      <c r="S237" s="3"/>
    </row>
    <row r="238" spans="1:19" ht="18" thickBot="1">
      <c r="A238" s="1218" t="s">
        <v>915</v>
      </c>
      <c r="B238" s="1219"/>
      <c r="C238" s="1219"/>
      <c r="D238" s="1219"/>
      <c r="E238" s="1219"/>
      <c r="F238" s="1219"/>
      <c r="G238" s="1219"/>
      <c r="H238" s="1219"/>
      <c r="I238" s="1219"/>
      <c r="J238" s="1219"/>
      <c r="K238" s="1219"/>
      <c r="L238" s="1219"/>
      <c r="M238" s="1219"/>
      <c r="N238" s="1220">
        <f>N237/'MK Bases Model (Base Case)'!F18</f>
        <v>3.1699745974866619E-2</v>
      </c>
      <c r="O238" s="1219"/>
      <c r="P238" s="1221"/>
      <c r="Q238" s="1221"/>
      <c r="R238" s="1222"/>
      <c r="S238" s="3"/>
    </row>
    <row r="239" spans="1:19" ht="16">
      <c r="A239" s="298"/>
      <c r="B239" s="3"/>
      <c r="C239" s="209"/>
      <c r="D239" s="209"/>
      <c r="E239" s="3"/>
      <c r="F239" s="298"/>
      <c r="G239" s="271"/>
      <c r="H239" s="271"/>
      <c r="I239" s="271"/>
      <c r="J239" s="910"/>
      <c r="K239" s="910"/>
      <c r="L239" s="3"/>
      <c r="M239" s="3"/>
      <c r="N239" s="3"/>
      <c r="O239" s="3"/>
      <c r="P239" s="269"/>
      <c r="Q239" s="269"/>
      <c r="R239" s="3"/>
      <c r="S239" s="3"/>
    </row>
    <row r="240" spans="1:19" ht="16">
      <c r="J240" s="907"/>
      <c r="K240" s="908"/>
      <c r="M240" s="3"/>
      <c r="N240" s="3"/>
      <c r="O240" s="3"/>
      <c r="P240" s="269"/>
      <c r="Q240" s="269"/>
      <c r="R240" s="3"/>
    </row>
    <row r="241" spans="1:19" ht="16">
      <c r="J241" s="907"/>
      <c r="K241" s="909"/>
      <c r="M241" s="3"/>
      <c r="N241" s="3"/>
      <c r="O241" s="3"/>
      <c r="P241" s="269"/>
      <c r="Q241" s="269"/>
      <c r="R241" s="3"/>
    </row>
    <row r="242" spans="1:19" ht="16">
      <c r="J242" s="907"/>
      <c r="K242" s="909"/>
      <c r="M242" s="3"/>
      <c r="N242" s="3"/>
      <c r="O242" s="3"/>
      <c r="P242" s="269"/>
      <c r="Q242" s="269"/>
      <c r="R242" s="3"/>
    </row>
    <row r="243" spans="1:19" ht="16">
      <c r="J243" s="907"/>
      <c r="K243" s="909"/>
      <c r="M243" s="3"/>
      <c r="N243" s="3"/>
      <c r="O243" s="3"/>
      <c r="P243" s="269"/>
      <c r="Q243" s="269"/>
      <c r="R243" s="3"/>
    </row>
    <row r="244" spans="1:19" ht="16">
      <c r="J244" s="907"/>
      <c r="K244" s="909"/>
      <c r="M244" s="3"/>
      <c r="N244" s="3"/>
      <c r="O244" s="3"/>
      <c r="P244" s="269"/>
      <c r="Q244" s="269"/>
      <c r="R244" s="3"/>
    </row>
    <row r="245" spans="1:19" ht="16">
      <c r="J245" s="907"/>
      <c r="K245" s="910"/>
      <c r="M245" s="3"/>
      <c r="N245" s="3"/>
      <c r="O245" s="3"/>
      <c r="P245" s="269"/>
      <c r="Q245" s="269"/>
      <c r="R245" s="3"/>
    </row>
    <row r="246" spans="1:19" ht="16">
      <c r="K246" s="3"/>
      <c r="L246" s="3"/>
      <c r="M246" s="3"/>
      <c r="N246" s="3"/>
      <c r="O246" s="3"/>
      <c r="P246" s="269"/>
      <c r="Q246" s="269"/>
      <c r="R246" s="3"/>
    </row>
    <row r="247" spans="1:19" ht="16">
      <c r="K247" s="44"/>
      <c r="L247" s="3"/>
      <c r="M247" s="3"/>
      <c r="N247" s="3"/>
      <c r="O247" s="3"/>
      <c r="P247" s="269"/>
      <c r="Q247" s="269"/>
      <c r="R247" s="3"/>
    </row>
    <row r="248" spans="1:19" ht="16">
      <c r="K248" s="3"/>
      <c r="L248" s="3"/>
      <c r="M248" s="3"/>
      <c r="N248" s="3"/>
      <c r="O248" s="3"/>
      <c r="P248" s="269"/>
      <c r="Q248" s="269"/>
      <c r="R248" s="3"/>
    </row>
    <row r="249" spans="1:19" ht="16">
      <c r="K249" s="3"/>
      <c r="L249" s="3"/>
      <c r="M249" s="3"/>
      <c r="N249" s="3"/>
      <c r="O249" s="3"/>
      <c r="P249" s="269"/>
      <c r="Q249" s="269"/>
      <c r="R249" s="3"/>
    </row>
    <row r="250" spans="1:19" ht="16">
      <c r="K250" s="3"/>
      <c r="L250" s="3"/>
      <c r="M250" s="3"/>
      <c r="N250" s="3"/>
      <c r="O250" s="3"/>
      <c r="P250" s="269"/>
      <c r="Q250" s="269"/>
      <c r="R250" s="3"/>
    </row>
    <row r="251" spans="1:19" ht="16">
      <c r="K251" s="3"/>
      <c r="L251" s="3"/>
      <c r="M251" s="3"/>
      <c r="N251" s="3"/>
      <c r="O251" s="3"/>
      <c r="P251" s="269"/>
      <c r="Q251" s="269"/>
      <c r="R251" s="3"/>
    </row>
    <row r="252" spans="1:19" ht="16">
      <c r="A252" s="3"/>
      <c r="B252" s="3"/>
      <c r="C252" s="3"/>
      <c r="D252" s="3"/>
      <c r="E252" s="3"/>
      <c r="F252" s="3"/>
      <c r="G252" s="3"/>
      <c r="H252" s="3"/>
      <c r="I252" s="3"/>
      <c r="J252" s="3"/>
      <c r="K252" s="3"/>
      <c r="L252" s="3"/>
      <c r="M252" s="3"/>
      <c r="N252" s="3"/>
      <c r="O252" s="3"/>
      <c r="P252" s="269"/>
      <c r="Q252" s="269"/>
      <c r="R252" s="3"/>
      <c r="S252" s="3"/>
    </row>
    <row r="253" spans="1:19" ht="16">
      <c r="A253" s="3"/>
      <c r="B253" s="3"/>
      <c r="C253" s="3"/>
      <c r="D253" s="3"/>
      <c r="E253" s="3"/>
      <c r="F253" s="3"/>
      <c r="G253" s="3"/>
      <c r="H253" s="3"/>
      <c r="I253" s="3"/>
      <c r="J253" s="3"/>
      <c r="K253" s="3"/>
      <c r="L253" s="3"/>
      <c r="M253" s="3"/>
      <c r="N253" s="3"/>
      <c r="O253" s="3"/>
      <c r="P253" s="269"/>
      <c r="Q253" s="269"/>
      <c r="R253" s="3"/>
      <c r="S253" s="3"/>
    </row>
    <row r="254" spans="1:19" ht="16">
      <c r="A254" s="3"/>
      <c r="B254" s="3"/>
      <c r="C254" s="3"/>
      <c r="D254" s="3"/>
      <c r="E254" s="3"/>
      <c r="F254" s="3"/>
      <c r="G254" s="3"/>
      <c r="H254" s="3"/>
      <c r="I254" s="3"/>
      <c r="J254" s="3"/>
      <c r="K254" s="3"/>
      <c r="L254" s="3"/>
      <c r="M254" s="3"/>
      <c r="N254" s="3"/>
      <c r="O254" s="3"/>
      <c r="P254" s="269"/>
      <c r="Q254" s="269"/>
      <c r="R254" s="3"/>
      <c r="S254" s="3"/>
    </row>
    <row r="255" spans="1:19" ht="16">
      <c r="A255" s="3"/>
      <c r="B255" s="3"/>
      <c r="C255" s="3"/>
      <c r="D255" s="3"/>
      <c r="E255" s="3"/>
      <c r="F255" s="3"/>
      <c r="G255" s="3"/>
      <c r="H255" s="3"/>
      <c r="I255" s="3"/>
      <c r="J255" s="3"/>
      <c r="K255" s="3"/>
      <c r="L255" s="3"/>
      <c r="M255" s="3"/>
      <c r="N255" s="3"/>
      <c r="O255" s="3"/>
      <c r="P255" s="3"/>
      <c r="Q255" s="3"/>
      <c r="R255" s="3"/>
      <c r="S255" s="3"/>
    </row>
    <row r="256" spans="1:19" ht="16">
      <c r="A256" s="3"/>
      <c r="B256" s="3"/>
      <c r="C256" s="3"/>
      <c r="D256" s="3"/>
      <c r="E256" s="3"/>
      <c r="F256" s="3"/>
      <c r="G256" s="3"/>
      <c r="H256" s="3"/>
      <c r="I256" s="3"/>
      <c r="J256" s="3"/>
      <c r="K256" s="3"/>
      <c r="L256" s="3"/>
      <c r="M256" s="3"/>
      <c r="N256" s="3"/>
      <c r="O256" s="3"/>
      <c r="P256" s="3"/>
      <c r="Q256" s="3"/>
      <c r="R256" s="3"/>
      <c r="S256" s="3"/>
    </row>
    <row r="257" spans="1:19" ht="16">
      <c r="A257" s="3"/>
      <c r="B257" s="3"/>
      <c r="C257" s="3"/>
      <c r="D257" s="3"/>
      <c r="E257" s="3"/>
      <c r="F257" s="3"/>
      <c r="G257" s="3"/>
      <c r="H257" s="3"/>
      <c r="I257" s="3"/>
      <c r="J257" s="3"/>
      <c r="K257" s="3"/>
      <c r="L257" s="3"/>
      <c r="M257" s="3"/>
      <c r="N257" s="3"/>
      <c r="O257" s="3"/>
      <c r="P257" s="3"/>
      <c r="Q257" s="3"/>
      <c r="R257" s="3"/>
      <c r="S257" s="3"/>
    </row>
    <row r="258" spans="1:19" ht="16">
      <c r="A258" s="3"/>
      <c r="B258" s="3"/>
      <c r="C258" s="3"/>
      <c r="D258" s="3"/>
      <c r="E258" s="3"/>
      <c r="F258" s="3"/>
      <c r="G258" s="3"/>
      <c r="H258" s="3"/>
      <c r="I258" s="3"/>
      <c r="J258" s="3"/>
      <c r="K258" s="3"/>
      <c r="L258" s="3"/>
      <c r="M258" s="3"/>
      <c r="N258" s="3"/>
      <c r="O258" s="3"/>
      <c r="P258" s="269"/>
      <c r="Q258" s="269"/>
      <c r="R258" s="3"/>
      <c r="S258" s="3"/>
    </row>
    <row r="259" spans="1:19" ht="16">
      <c r="A259" s="3"/>
      <c r="B259" s="3"/>
      <c r="C259" s="3"/>
      <c r="D259" s="3"/>
      <c r="E259" s="3"/>
      <c r="F259" s="3"/>
      <c r="G259" s="3"/>
      <c r="H259" s="3"/>
      <c r="I259" s="3"/>
      <c r="J259" s="3"/>
      <c r="K259" s="3"/>
      <c r="L259" s="3"/>
      <c r="M259" s="3"/>
      <c r="N259" s="3"/>
      <c r="O259" s="3"/>
      <c r="P259" s="269"/>
      <c r="Q259" s="269"/>
      <c r="R259" s="3"/>
      <c r="S259" s="3"/>
    </row>
    <row r="260" spans="1:19" ht="16">
      <c r="A260" s="3"/>
      <c r="B260" s="3"/>
      <c r="C260" s="3"/>
      <c r="D260" s="3"/>
      <c r="E260" s="3"/>
      <c r="F260" s="3"/>
      <c r="G260" s="3"/>
      <c r="H260" s="3"/>
      <c r="I260" s="3"/>
      <c r="J260" s="3"/>
      <c r="K260" s="3"/>
      <c r="L260" s="3"/>
      <c r="M260" s="3"/>
      <c r="N260" s="3"/>
      <c r="O260" s="3"/>
      <c r="P260" s="269"/>
      <c r="Q260" s="269"/>
      <c r="R260" s="3"/>
      <c r="S260" s="3"/>
    </row>
    <row r="261" spans="1:19" ht="16">
      <c r="A261" s="3"/>
      <c r="B261" s="3"/>
      <c r="C261" s="3"/>
      <c r="D261" s="3"/>
      <c r="E261" s="3"/>
      <c r="F261" s="3"/>
      <c r="G261" s="3"/>
      <c r="H261" s="3"/>
      <c r="I261" s="3"/>
      <c r="J261" s="3"/>
      <c r="K261" s="3"/>
      <c r="L261" s="3"/>
      <c r="M261" s="3"/>
      <c r="N261" s="3"/>
      <c r="O261" s="3"/>
      <c r="P261" s="269"/>
      <c r="Q261" s="269"/>
      <c r="R261" s="3"/>
      <c r="S261" s="3"/>
    </row>
    <row r="262" spans="1:19" ht="16">
      <c r="A262" s="3"/>
      <c r="B262" s="3"/>
      <c r="C262" s="3"/>
      <c r="D262" s="3"/>
      <c r="E262" s="3"/>
      <c r="F262" s="3"/>
      <c r="G262" s="3"/>
      <c r="H262" s="3"/>
      <c r="I262" s="3"/>
      <c r="J262" s="3"/>
      <c r="K262" s="3"/>
      <c r="L262" s="3"/>
      <c r="M262" s="3"/>
      <c r="N262" s="3"/>
      <c r="O262" s="3"/>
      <c r="P262" s="269"/>
      <c r="Q262" s="269"/>
      <c r="R262" s="3"/>
      <c r="S262" s="3"/>
    </row>
    <row r="263" spans="1:19" ht="16">
      <c r="A263" s="3"/>
      <c r="B263" s="3"/>
      <c r="C263" s="3"/>
      <c r="D263" s="3"/>
      <c r="E263" s="3"/>
      <c r="F263" s="3"/>
      <c r="G263" s="3"/>
      <c r="H263" s="3"/>
      <c r="I263" s="3"/>
      <c r="J263" s="3"/>
      <c r="K263" s="3"/>
      <c r="L263" s="3"/>
      <c r="M263" s="3"/>
      <c r="N263" s="3"/>
      <c r="O263" s="3"/>
      <c r="P263" s="269"/>
      <c r="Q263" s="269"/>
      <c r="R263" s="3"/>
      <c r="S263" s="3"/>
    </row>
    <row r="264" spans="1:19" ht="16">
      <c r="A264" s="3"/>
      <c r="B264" s="3"/>
      <c r="C264" s="3"/>
      <c r="D264" s="3"/>
      <c r="E264" s="3"/>
      <c r="F264" s="3"/>
      <c r="G264" s="3"/>
      <c r="H264" s="3"/>
      <c r="I264" s="3"/>
      <c r="J264" s="3"/>
      <c r="K264" s="3"/>
      <c r="L264" s="3"/>
      <c r="M264" s="3"/>
      <c r="N264" s="3"/>
      <c r="O264" s="3"/>
      <c r="P264" s="269"/>
      <c r="Q264" s="269"/>
      <c r="R264" s="3"/>
      <c r="S264" s="3"/>
    </row>
    <row r="265" spans="1:19" ht="16">
      <c r="A265" s="3"/>
      <c r="B265" s="3"/>
      <c r="C265" s="3"/>
      <c r="D265" s="3"/>
      <c r="E265" s="3"/>
      <c r="F265" s="3"/>
      <c r="G265" s="3"/>
      <c r="H265" s="3"/>
      <c r="I265" s="3"/>
      <c r="J265" s="3"/>
      <c r="K265" s="3"/>
      <c r="L265" s="3"/>
      <c r="M265" s="3"/>
      <c r="N265" s="3"/>
      <c r="O265" s="3"/>
      <c r="P265" s="269"/>
      <c r="Q265" s="269"/>
      <c r="R265" s="3"/>
      <c r="S265" s="3"/>
    </row>
    <row r="266" spans="1:19" ht="16">
      <c r="A266" s="3"/>
      <c r="B266" s="3"/>
      <c r="C266" s="3"/>
      <c r="D266" s="3"/>
      <c r="E266" s="3"/>
      <c r="F266" s="3"/>
      <c r="G266" s="3"/>
      <c r="H266" s="3"/>
      <c r="I266" s="3"/>
      <c r="J266" s="3"/>
      <c r="K266" s="3"/>
      <c r="L266" s="3"/>
      <c r="M266" s="3"/>
      <c r="N266" s="3"/>
      <c r="O266" s="3"/>
      <c r="P266" s="269"/>
      <c r="Q266" s="269"/>
      <c r="R266" s="3"/>
      <c r="S266" s="3"/>
    </row>
    <row r="267" spans="1:19" ht="16">
      <c r="A267" s="3"/>
      <c r="B267" s="3"/>
      <c r="C267" s="3"/>
      <c r="D267" s="3"/>
      <c r="E267" s="3"/>
      <c r="F267" s="3"/>
      <c r="G267" s="3"/>
      <c r="H267" s="3"/>
      <c r="I267" s="3"/>
      <c r="J267" s="3"/>
      <c r="K267" s="3"/>
      <c r="L267" s="3"/>
      <c r="M267" s="3"/>
      <c r="N267" s="3"/>
      <c r="O267" s="3"/>
      <c r="P267" s="269"/>
      <c r="Q267" s="269"/>
      <c r="R267" s="3"/>
      <c r="S267" s="3"/>
    </row>
    <row r="268" spans="1:19" ht="16">
      <c r="A268" s="3"/>
      <c r="B268" s="3"/>
      <c r="C268" s="3"/>
      <c r="D268" s="3"/>
      <c r="E268" s="3"/>
      <c r="F268" s="3"/>
      <c r="G268" s="3"/>
      <c r="H268" s="3"/>
      <c r="I268" s="3"/>
      <c r="J268" s="3"/>
      <c r="K268" s="3"/>
      <c r="L268" s="3"/>
      <c r="M268" s="3"/>
      <c r="N268" s="3"/>
      <c r="O268" s="3"/>
      <c r="P268" s="269"/>
      <c r="Q268" s="269"/>
      <c r="R268" s="3"/>
      <c r="S268" s="3"/>
    </row>
    <row r="269" spans="1:19" ht="13"/>
    <row r="270" spans="1:19" ht="13"/>
    <row r="271" spans="1:19" ht="13"/>
    <row r="272" spans="1:19" ht="13"/>
    <row r="273" ht="13"/>
    <row r="274" ht="13"/>
    <row r="275" ht="13"/>
    <row r="276" ht="13"/>
    <row r="277" ht="13"/>
    <row r="278" ht="13"/>
    <row r="279" ht="13"/>
    <row r="280" ht="13"/>
    <row r="281" ht="13"/>
    <row r="282" ht="13"/>
    <row r="283" ht="13"/>
    <row r="284" ht="13"/>
    <row r="285" ht="13"/>
    <row r="286" ht="13"/>
    <row r="287" ht="13"/>
    <row r="288" ht="13"/>
    <row r="289" ht="13"/>
    <row r="290" ht="13"/>
    <row r="291" ht="13"/>
    <row r="292" ht="13"/>
    <row r="293" ht="13"/>
    <row r="294" ht="13"/>
    <row r="295" ht="13"/>
    <row r="296" ht="13"/>
    <row r="297" ht="13"/>
    <row r="298" ht="13"/>
    <row r="299" ht="13"/>
    <row r="300" ht="13"/>
    <row r="301" ht="13"/>
    <row r="302" ht="13"/>
    <row r="303" ht="13"/>
    <row r="304" ht="13"/>
    <row r="305" spans="1:19" ht="13"/>
    <row r="306" spans="1:19" ht="13"/>
    <row r="307" spans="1:19" ht="13"/>
    <row r="308" spans="1:19" ht="13"/>
    <row r="309" spans="1:19" ht="13"/>
    <row r="310" spans="1:19" ht="13"/>
    <row r="311" spans="1:19" ht="13"/>
    <row r="312" spans="1:19" ht="13"/>
    <row r="313" spans="1:19" ht="13"/>
    <row r="314" spans="1:19" ht="13"/>
    <row r="315" spans="1:19" ht="16">
      <c r="A315" s="3"/>
      <c r="B315" s="3"/>
      <c r="C315" s="3"/>
      <c r="D315" s="3"/>
      <c r="E315" s="3"/>
      <c r="F315" s="3"/>
      <c r="G315" s="3"/>
      <c r="H315" s="3"/>
      <c r="I315" s="3"/>
      <c r="J315" s="3"/>
      <c r="K315" s="3"/>
      <c r="L315" s="3"/>
      <c r="M315" s="3"/>
      <c r="N315" s="3"/>
      <c r="O315" s="3"/>
      <c r="P315" s="269"/>
      <c r="Q315" s="269"/>
      <c r="R315" s="3"/>
      <c r="S315" s="3"/>
    </row>
    <row r="316" spans="1:19" ht="16">
      <c r="A316" s="3"/>
      <c r="B316" s="3"/>
      <c r="C316" s="3"/>
      <c r="D316" s="3"/>
      <c r="E316" s="3"/>
      <c r="F316" s="3"/>
      <c r="G316" s="3"/>
      <c r="H316" s="3"/>
      <c r="I316" s="3"/>
      <c r="J316" s="3"/>
      <c r="K316" s="3"/>
      <c r="L316" s="3"/>
      <c r="M316" s="3"/>
      <c r="N316" s="3"/>
      <c r="O316" s="3"/>
      <c r="P316" s="269"/>
      <c r="Q316" s="269"/>
      <c r="R316" s="3"/>
      <c r="S316" s="3"/>
    </row>
    <row r="317" spans="1:19" ht="16">
      <c r="A317" s="3"/>
      <c r="B317" s="3"/>
      <c r="C317" s="3"/>
      <c r="D317" s="3"/>
      <c r="E317" s="3"/>
      <c r="F317" s="3"/>
      <c r="G317" s="3"/>
      <c r="H317" s="3"/>
      <c r="I317" s="3"/>
      <c r="J317" s="3"/>
      <c r="K317" s="3"/>
      <c r="L317" s="3"/>
      <c r="M317" s="3"/>
      <c r="N317" s="3"/>
      <c r="O317" s="3"/>
      <c r="P317" s="269"/>
      <c r="Q317" s="269"/>
      <c r="R317" s="3"/>
      <c r="S317" s="3"/>
    </row>
    <row r="318" spans="1:19" ht="16">
      <c r="A318" s="3"/>
      <c r="B318" s="3"/>
      <c r="C318" s="3"/>
      <c r="D318" s="3"/>
      <c r="E318" s="3"/>
      <c r="F318" s="3"/>
      <c r="G318" s="3"/>
      <c r="H318" s="3"/>
      <c r="I318" s="3"/>
      <c r="J318" s="3"/>
      <c r="K318" s="3"/>
      <c r="L318" s="3"/>
      <c r="M318" s="3"/>
      <c r="N318" s="3"/>
      <c r="O318" s="3"/>
      <c r="P318" s="269"/>
      <c r="Q318" s="269"/>
      <c r="R318" s="3"/>
      <c r="S318" s="3"/>
    </row>
    <row r="319" spans="1:19" ht="16">
      <c r="A319" s="3"/>
      <c r="B319" s="3"/>
      <c r="C319" s="3"/>
      <c r="D319" s="3"/>
      <c r="E319" s="3"/>
      <c r="F319" s="3"/>
      <c r="G319" s="3"/>
      <c r="H319" s="3"/>
      <c r="I319" s="3"/>
      <c r="J319" s="3"/>
      <c r="K319" s="3"/>
      <c r="L319" s="3"/>
      <c r="M319" s="3"/>
      <c r="N319" s="3"/>
      <c r="O319" s="3"/>
      <c r="P319" s="269"/>
      <c r="Q319" s="269"/>
      <c r="R319" s="3"/>
      <c r="S319" s="3"/>
    </row>
    <row r="320" spans="1:19" ht="16">
      <c r="A320" s="3"/>
      <c r="B320" s="3"/>
      <c r="C320" s="3"/>
      <c r="D320" s="3"/>
      <c r="E320" s="3"/>
      <c r="F320" s="3"/>
      <c r="G320" s="3"/>
      <c r="H320" s="3"/>
      <c r="I320" s="3"/>
      <c r="J320" s="3"/>
      <c r="K320" s="3"/>
      <c r="L320" s="3"/>
      <c r="M320" s="3"/>
      <c r="N320" s="3"/>
      <c r="O320" s="3"/>
      <c r="P320" s="269"/>
      <c r="Q320" s="269"/>
      <c r="R320" s="3"/>
      <c r="S320" s="3"/>
    </row>
    <row r="321" spans="1:19" ht="16">
      <c r="A321" s="3"/>
      <c r="B321" s="3"/>
      <c r="C321" s="3"/>
      <c r="D321" s="3"/>
      <c r="E321" s="3"/>
      <c r="F321" s="3"/>
      <c r="G321" s="3"/>
      <c r="H321" s="3"/>
      <c r="I321" s="3"/>
      <c r="J321" s="3"/>
      <c r="K321" s="3"/>
      <c r="L321" s="3"/>
      <c r="M321" s="3"/>
      <c r="N321" s="3"/>
      <c r="O321" s="3"/>
      <c r="P321" s="269"/>
      <c r="Q321" s="269"/>
      <c r="R321" s="3"/>
      <c r="S321" s="3"/>
    </row>
    <row r="322" spans="1:19" ht="13">
      <c r="P322" s="320"/>
      <c r="Q322" s="320"/>
    </row>
    <row r="323" spans="1:19" ht="13">
      <c r="P323" s="320"/>
      <c r="Q323" s="320"/>
    </row>
    <row r="324" spans="1:19" ht="13">
      <c r="P324" s="320"/>
      <c r="Q324" s="320"/>
    </row>
    <row r="325" spans="1:19" ht="13">
      <c r="P325" s="320"/>
      <c r="Q325" s="320"/>
    </row>
    <row r="326" spans="1:19" ht="13">
      <c r="P326" s="320"/>
      <c r="Q326" s="320"/>
    </row>
    <row r="327" spans="1:19" ht="13">
      <c r="P327" s="320"/>
      <c r="Q327" s="320"/>
    </row>
    <row r="328" spans="1:19" ht="13">
      <c r="P328" s="320"/>
      <c r="Q328" s="320"/>
    </row>
    <row r="329" spans="1:19" ht="13">
      <c r="P329" s="320"/>
      <c r="Q329" s="320"/>
    </row>
    <row r="330" spans="1:19" ht="13">
      <c r="P330" s="320"/>
      <c r="Q330" s="320"/>
    </row>
    <row r="331" spans="1:19" ht="13">
      <c r="P331" s="320"/>
      <c r="Q331" s="320"/>
    </row>
    <row r="332" spans="1:19" ht="13">
      <c r="P332" s="320"/>
      <c r="Q332" s="320"/>
    </row>
    <row r="336" spans="1:19" ht="13">
      <c r="P336" s="320"/>
      <c r="Q336" s="320"/>
    </row>
    <row r="337" spans="16:17" ht="13">
      <c r="P337" s="320"/>
      <c r="Q337" s="320"/>
    </row>
    <row r="338" spans="16:17" ht="13">
      <c r="P338" s="320"/>
      <c r="Q338" s="320"/>
    </row>
    <row r="339" spans="16:17" ht="13">
      <c r="P339" s="320"/>
      <c r="Q339" s="320"/>
    </row>
    <row r="340" spans="16:17" ht="13">
      <c r="P340" s="320"/>
      <c r="Q340" s="320"/>
    </row>
    <row r="341" spans="16:17" ht="13">
      <c r="P341" s="320"/>
      <c r="Q341" s="320"/>
    </row>
    <row r="342" spans="16:17" ht="13">
      <c r="P342" s="320"/>
      <c r="Q342" s="320"/>
    </row>
    <row r="343" spans="16:17" ht="13">
      <c r="P343" s="320"/>
      <c r="Q343" s="320"/>
    </row>
    <row r="344" spans="16:17" ht="13">
      <c r="P344" s="320"/>
      <c r="Q344" s="320"/>
    </row>
    <row r="345" spans="16:17" ht="13">
      <c r="P345" s="320"/>
      <c r="Q345" s="320"/>
    </row>
    <row r="346" spans="16:17" ht="13">
      <c r="P346" s="320"/>
      <c r="Q346" s="320"/>
    </row>
    <row r="347" spans="16:17" ht="13">
      <c r="P347" s="320"/>
      <c r="Q347" s="320"/>
    </row>
    <row r="348" spans="16:17" ht="13">
      <c r="P348" s="320"/>
      <c r="Q348" s="320"/>
    </row>
    <row r="349" spans="16:17" ht="13">
      <c r="P349" s="320"/>
      <c r="Q349" s="320"/>
    </row>
    <row r="350" spans="16:17" ht="13">
      <c r="P350" s="320"/>
      <c r="Q350" s="320"/>
    </row>
    <row r="351" spans="16:17" ht="13">
      <c r="P351" s="320"/>
      <c r="Q351" s="320"/>
    </row>
    <row r="352" spans="16:17" ht="13">
      <c r="P352" s="320"/>
      <c r="Q352" s="320"/>
    </row>
    <row r="353" spans="16:17" ht="13">
      <c r="P353" s="320"/>
      <c r="Q353" s="320"/>
    </row>
    <row r="354" spans="16:17" ht="13">
      <c r="P354" s="320"/>
      <c r="Q354" s="320"/>
    </row>
    <row r="355" spans="16:17" ht="13">
      <c r="P355" s="320"/>
      <c r="Q355" s="320"/>
    </row>
    <row r="356" spans="16:17" ht="13">
      <c r="P356" s="320"/>
      <c r="Q356" s="320"/>
    </row>
    <row r="357" spans="16:17" ht="13">
      <c r="P357" s="320"/>
      <c r="Q357" s="320"/>
    </row>
    <row r="358" spans="16:17" ht="13">
      <c r="P358" s="320"/>
      <c r="Q358" s="320"/>
    </row>
    <row r="359" spans="16:17" ht="13">
      <c r="P359" s="320"/>
      <c r="Q359" s="320"/>
    </row>
    <row r="360" spans="16:17" ht="13">
      <c r="P360" s="320"/>
      <c r="Q360" s="320"/>
    </row>
    <row r="361" spans="16:17" ht="13">
      <c r="P361" s="320"/>
      <c r="Q361" s="320"/>
    </row>
    <row r="362" spans="16:17" ht="13">
      <c r="P362" s="320"/>
      <c r="Q362" s="320"/>
    </row>
    <row r="363" spans="16:17" ht="13">
      <c r="P363" s="320"/>
      <c r="Q363" s="320"/>
    </row>
    <row r="364" spans="16:17" ht="13">
      <c r="P364" s="320"/>
      <c r="Q364" s="320"/>
    </row>
    <row r="365" spans="16:17" ht="13">
      <c r="P365" s="320"/>
      <c r="Q365" s="320"/>
    </row>
    <row r="366" spans="16:17" ht="13">
      <c r="P366" s="320"/>
      <c r="Q366" s="320"/>
    </row>
    <row r="367" spans="16:17" ht="13">
      <c r="P367" s="320"/>
      <c r="Q367" s="320"/>
    </row>
    <row r="368" spans="16:17" ht="13">
      <c r="P368" s="320"/>
      <c r="Q368" s="320"/>
    </row>
    <row r="369" spans="16:17" ht="13">
      <c r="P369" s="320"/>
      <c r="Q369" s="320"/>
    </row>
    <row r="370" spans="16:17" ht="13">
      <c r="P370" s="320"/>
      <c r="Q370" s="320"/>
    </row>
    <row r="371" spans="16:17" ht="13">
      <c r="P371" s="320"/>
      <c r="Q371" s="320"/>
    </row>
    <row r="372" spans="16:17" ht="13">
      <c r="P372" s="320"/>
      <c r="Q372" s="320"/>
    </row>
    <row r="373" spans="16:17" ht="13">
      <c r="P373" s="320"/>
      <c r="Q373" s="320"/>
    </row>
    <row r="374" spans="16:17" ht="13">
      <c r="P374" s="320"/>
      <c r="Q374" s="320"/>
    </row>
    <row r="375" spans="16:17" ht="13">
      <c r="P375" s="320"/>
      <c r="Q375" s="320"/>
    </row>
    <row r="376" spans="16:17" ht="13">
      <c r="P376" s="320"/>
      <c r="Q376" s="320"/>
    </row>
    <row r="377" spans="16:17" ht="13">
      <c r="P377" s="320"/>
      <c r="Q377" s="320"/>
    </row>
    <row r="378" spans="16:17" ht="13">
      <c r="P378" s="320"/>
      <c r="Q378" s="320"/>
    </row>
    <row r="379" spans="16:17" ht="13">
      <c r="P379" s="320"/>
      <c r="Q379" s="320"/>
    </row>
    <row r="380" spans="16:17" ht="13">
      <c r="P380" s="320"/>
      <c r="Q380" s="320"/>
    </row>
    <row r="381" spans="16:17" ht="13">
      <c r="P381" s="320"/>
      <c r="Q381" s="320"/>
    </row>
    <row r="382" spans="16:17" ht="13">
      <c r="P382" s="320"/>
      <c r="Q382" s="320"/>
    </row>
    <row r="383" spans="16:17" ht="13">
      <c r="P383" s="320"/>
      <c r="Q383" s="320"/>
    </row>
    <row r="384" spans="16:17" ht="13">
      <c r="P384" s="320"/>
      <c r="Q384" s="320"/>
    </row>
    <row r="385" spans="16:17" ht="13">
      <c r="P385" s="320"/>
      <c r="Q385" s="320"/>
    </row>
    <row r="386" spans="16:17" ht="13">
      <c r="P386" s="320"/>
      <c r="Q386" s="320"/>
    </row>
    <row r="387" spans="16:17" ht="13">
      <c r="P387" s="320"/>
      <c r="Q387" s="320"/>
    </row>
    <row r="388" spans="16:17" ht="13">
      <c r="P388" s="320"/>
      <c r="Q388" s="320"/>
    </row>
    <row r="389" spans="16:17" ht="13">
      <c r="P389" s="320"/>
      <c r="Q389" s="320"/>
    </row>
    <row r="390" spans="16:17" ht="13">
      <c r="P390" s="320"/>
      <c r="Q390" s="320"/>
    </row>
    <row r="391" spans="16:17" ht="13">
      <c r="P391" s="320"/>
      <c r="Q391" s="320"/>
    </row>
    <row r="392" spans="16:17" ht="13">
      <c r="P392" s="320"/>
      <c r="Q392" s="320"/>
    </row>
    <row r="393" spans="16:17" ht="13">
      <c r="P393" s="320"/>
      <c r="Q393" s="320"/>
    </row>
    <row r="394" spans="16:17" ht="13">
      <c r="P394" s="320"/>
      <c r="Q394" s="320"/>
    </row>
    <row r="395" spans="16:17" ht="13">
      <c r="P395" s="320"/>
      <c r="Q395" s="320"/>
    </row>
    <row r="396" spans="16:17" ht="13">
      <c r="P396" s="320"/>
      <c r="Q396" s="320"/>
    </row>
    <row r="397" spans="16:17" ht="13">
      <c r="P397" s="320"/>
      <c r="Q397" s="320"/>
    </row>
    <row r="398" spans="16:17" ht="13">
      <c r="P398" s="320"/>
      <c r="Q398" s="320"/>
    </row>
    <row r="399" spans="16:17" ht="13">
      <c r="P399" s="320"/>
      <c r="Q399" s="320"/>
    </row>
    <row r="400" spans="16:17" ht="13">
      <c r="P400" s="320"/>
      <c r="Q400" s="320"/>
    </row>
    <row r="401" spans="16:17" ht="13">
      <c r="P401" s="320"/>
      <c r="Q401" s="320"/>
    </row>
    <row r="402" spans="16:17" ht="13">
      <c r="P402" s="320"/>
      <c r="Q402" s="320"/>
    </row>
    <row r="403" spans="16:17" ht="13">
      <c r="P403" s="320"/>
      <c r="Q403" s="320"/>
    </row>
    <row r="404" spans="16:17" ht="13">
      <c r="P404" s="320"/>
      <c r="Q404" s="320"/>
    </row>
    <row r="405" spans="16:17" ht="13">
      <c r="P405" s="320"/>
      <c r="Q405" s="320"/>
    </row>
    <row r="406" spans="16:17" ht="13">
      <c r="P406" s="320"/>
      <c r="Q406" s="320"/>
    </row>
    <row r="407" spans="16:17" ht="13">
      <c r="P407" s="320"/>
      <c r="Q407" s="320"/>
    </row>
    <row r="408" spans="16:17" ht="13">
      <c r="P408" s="320"/>
      <c r="Q408" s="320"/>
    </row>
    <row r="409" spans="16:17" ht="13">
      <c r="P409" s="320"/>
      <c r="Q409" s="320"/>
    </row>
    <row r="410" spans="16:17" ht="13">
      <c r="P410" s="320"/>
      <c r="Q410" s="320"/>
    </row>
    <row r="411" spans="16:17" ht="13">
      <c r="P411" s="320"/>
      <c r="Q411" s="320"/>
    </row>
    <row r="412" spans="16:17" ht="13">
      <c r="P412" s="320"/>
      <c r="Q412" s="320"/>
    </row>
    <row r="413" spans="16:17" ht="13">
      <c r="P413" s="320"/>
      <c r="Q413" s="320"/>
    </row>
    <row r="414" spans="16:17" ht="13">
      <c r="P414" s="320"/>
      <c r="Q414" s="320"/>
    </row>
    <row r="415" spans="16:17" ht="13">
      <c r="P415" s="320"/>
      <c r="Q415" s="320"/>
    </row>
    <row r="416" spans="16:17" ht="13">
      <c r="P416" s="320"/>
      <c r="Q416" s="320"/>
    </row>
    <row r="417" spans="16:17" ht="13">
      <c r="P417" s="320"/>
      <c r="Q417" s="320"/>
    </row>
    <row r="418" spans="16:17" ht="13">
      <c r="P418" s="320"/>
      <c r="Q418" s="320"/>
    </row>
    <row r="419" spans="16:17" ht="13">
      <c r="P419" s="320"/>
      <c r="Q419" s="320"/>
    </row>
    <row r="420" spans="16:17" ht="13">
      <c r="P420" s="320"/>
      <c r="Q420" s="320"/>
    </row>
    <row r="421" spans="16:17" ht="13">
      <c r="P421" s="320"/>
      <c r="Q421" s="320"/>
    </row>
    <row r="422" spans="16:17" ht="13">
      <c r="P422" s="320"/>
      <c r="Q422" s="320"/>
    </row>
    <row r="423" spans="16:17" ht="13">
      <c r="P423" s="320"/>
      <c r="Q423" s="320"/>
    </row>
    <row r="424" spans="16:17" ht="13">
      <c r="P424" s="320"/>
      <c r="Q424" s="320"/>
    </row>
    <row r="425" spans="16:17" ht="13">
      <c r="P425" s="320"/>
      <c r="Q425" s="320"/>
    </row>
    <row r="426" spans="16:17" ht="13">
      <c r="P426" s="320"/>
      <c r="Q426" s="320"/>
    </row>
    <row r="427" spans="16:17" ht="13">
      <c r="P427" s="320"/>
      <c r="Q427" s="320"/>
    </row>
    <row r="428" spans="16:17" ht="13">
      <c r="P428" s="320"/>
      <c r="Q428" s="320"/>
    </row>
    <row r="429" spans="16:17" ht="13">
      <c r="P429" s="320"/>
      <c r="Q429" s="320"/>
    </row>
    <row r="430" spans="16:17" ht="13">
      <c r="P430" s="320"/>
      <c r="Q430" s="320"/>
    </row>
    <row r="431" spans="16:17" ht="13">
      <c r="P431" s="320"/>
      <c r="Q431" s="320"/>
    </row>
    <row r="432" spans="16:17" ht="13">
      <c r="P432" s="320"/>
      <c r="Q432" s="320"/>
    </row>
    <row r="433" spans="16:17" ht="13">
      <c r="P433" s="320"/>
      <c r="Q433" s="320"/>
    </row>
    <row r="434" spans="16:17" ht="13">
      <c r="P434" s="320"/>
      <c r="Q434" s="320"/>
    </row>
    <row r="435" spans="16:17" ht="13">
      <c r="P435" s="320"/>
      <c r="Q435" s="320"/>
    </row>
    <row r="436" spans="16:17" ht="13">
      <c r="P436" s="320"/>
      <c r="Q436" s="320"/>
    </row>
    <row r="437" spans="16:17" ht="13">
      <c r="P437" s="320"/>
      <c r="Q437" s="320"/>
    </row>
    <row r="438" spans="16:17" ht="13">
      <c r="P438" s="320"/>
      <c r="Q438" s="320"/>
    </row>
    <row r="439" spans="16:17" ht="13">
      <c r="P439" s="320"/>
      <c r="Q439" s="320"/>
    </row>
    <row r="440" spans="16:17" ht="13">
      <c r="P440" s="320"/>
      <c r="Q440" s="320"/>
    </row>
    <row r="441" spans="16:17" ht="13">
      <c r="P441" s="320"/>
      <c r="Q441" s="320"/>
    </row>
    <row r="442" spans="16:17" ht="13">
      <c r="P442" s="320"/>
      <c r="Q442" s="320"/>
    </row>
    <row r="443" spans="16:17" ht="13">
      <c r="P443" s="320"/>
      <c r="Q443" s="320"/>
    </row>
    <row r="444" spans="16:17" ht="13">
      <c r="P444" s="320"/>
      <c r="Q444" s="320"/>
    </row>
    <row r="445" spans="16:17" ht="13">
      <c r="P445" s="320"/>
      <c r="Q445" s="320"/>
    </row>
    <row r="446" spans="16:17" ht="13">
      <c r="P446" s="320"/>
      <c r="Q446" s="320"/>
    </row>
    <row r="447" spans="16:17" ht="13">
      <c r="P447" s="320"/>
      <c r="Q447" s="320"/>
    </row>
    <row r="448" spans="16:17" ht="13">
      <c r="P448" s="320"/>
      <c r="Q448" s="320"/>
    </row>
    <row r="449" spans="16:17" ht="13">
      <c r="P449" s="320"/>
      <c r="Q449" s="320"/>
    </row>
    <row r="450" spans="16:17" ht="13">
      <c r="P450" s="320"/>
      <c r="Q450" s="320"/>
    </row>
    <row r="451" spans="16:17" ht="13">
      <c r="P451" s="320"/>
      <c r="Q451" s="320"/>
    </row>
    <row r="452" spans="16:17" ht="13">
      <c r="P452" s="320"/>
      <c r="Q452" s="320"/>
    </row>
    <row r="453" spans="16:17" ht="13">
      <c r="P453" s="320"/>
      <c r="Q453" s="320"/>
    </row>
    <row r="454" spans="16:17" ht="13">
      <c r="P454" s="320"/>
      <c r="Q454" s="320"/>
    </row>
    <row r="455" spans="16:17" ht="13">
      <c r="P455" s="320"/>
      <c r="Q455" s="320"/>
    </row>
    <row r="456" spans="16:17" ht="13">
      <c r="P456" s="320"/>
      <c r="Q456" s="320"/>
    </row>
    <row r="457" spans="16:17" ht="13">
      <c r="P457" s="320"/>
      <c r="Q457" s="320"/>
    </row>
    <row r="458" spans="16:17" ht="13">
      <c r="P458" s="320"/>
      <c r="Q458" s="320"/>
    </row>
    <row r="459" spans="16:17" ht="13">
      <c r="P459" s="320"/>
      <c r="Q459" s="320"/>
    </row>
    <row r="460" spans="16:17" ht="13">
      <c r="P460" s="320"/>
      <c r="Q460" s="320"/>
    </row>
    <row r="461" spans="16:17" ht="13">
      <c r="P461" s="320"/>
      <c r="Q461" s="320"/>
    </row>
    <row r="462" spans="16:17" ht="13">
      <c r="P462" s="320"/>
      <c r="Q462" s="320"/>
    </row>
    <row r="463" spans="16:17" ht="13">
      <c r="P463" s="320"/>
      <c r="Q463" s="320"/>
    </row>
    <row r="464" spans="16:17" ht="13">
      <c r="P464" s="320"/>
      <c r="Q464" s="320"/>
    </row>
    <row r="465" spans="16:17" ht="13">
      <c r="P465" s="320"/>
      <c r="Q465" s="320"/>
    </row>
    <row r="466" spans="16:17" ht="13">
      <c r="P466" s="320"/>
      <c r="Q466" s="320"/>
    </row>
    <row r="467" spans="16:17" ht="13">
      <c r="P467" s="320"/>
      <c r="Q467" s="320"/>
    </row>
    <row r="468" spans="16:17" ht="13">
      <c r="P468" s="320"/>
      <c r="Q468" s="320"/>
    </row>
    <row r="469" spans="16:17" ht="13">
      <c r="P469" s="320"/>
      <c r="Q469" s="320"/>
    </row>
    <row r="470" spans="16:17" ht="13">
      <c r="P470" s="320"/>
      <c r="Q470" s="320"/>
    </row>
    <row r="471" spans="16:17" ht="13">
      <c r="P471" s="320"/>
      <c r="Q471" s="320"/>
    </row>
    <row r="472" spans="16:17" ht="13">
      <c r="P472" s="320"/>
      <c r="Q472" s="320"/>
    </row>
    <row r="473" spans="16:17" ht="13">
      <c r="P473" s="320"/>
      <c r="Q473" s="320"/>
    </row>
    <row r="474" spans="16:17" ht="13">
      <c r="P474" s="320"/>
      <c r="Q474" s="320"/>
    </row>
    <row r="475" spans="16:17" ht="13">
      <c r="P475" s="320"/>
      <c r="Q475" s="320"/>
    </row>
    <row r="476" spans="16:17" ht="13">
      <c r="P476" s="320"/>
      <c r="Q476" s="320"/>
    </row>
    <row r="477" spans="16:17" ht="13">
      <c r="P477" s="320"/>
      <c r="Q477" s="320"/>
    </row>
    <row r="478" spans="16:17" ht="13">
      <c r="P478" s="320"/>
      <c r="Q478" s="320"/>
    </row>
    <row r="479" spans="16:17" ht="13">
      <c r="P479" s="320"/>
      <c r="Q479" s="320"/>
    </row>
    <row r="480" spans="16:17" ht="13">
      <c r="P480" s="320"/>
      <c r="Q480" s="320"/>
    </row>
    <row r="481" spans="16:17" ht="13">
      <c r="P481" s="320"/>
      <c r="Q481" s="320"/>
    </row>
    <row r="482" spans="16:17" ht="13">
      <c r="P482" s="320"/>
      <c r="Q482" s="320"/>
    </row>
    <row r="483" spans="16:17" ht="13">
      <c r="P483" s="320"/>
      <c r="Q483" s="320"/>
    </row>
    <row r="484" spans="16:17" ht="13">
      <c r="P484" s="320"/>
      <c r="Q484" s="320"/>
    </row>
    <row r="485" spans="16:17" ht="13">
      <c r="P485" s="320"/>
      <c r="Q485" s="320"/>
    </row>
    <row r="486" spans="16:17" ht="13">
      <c r="P486" s="320"/>
      <c r="Q486" s="320"/>
    </row>
    <row r="487" spans="16:17" ht="13">
      <c r="P487" s="320"/>
      <c r="Q487" s="320"/>
    </row>
    <row r="488" spans="16:17" ht="13">
      <c r="P488" s="320"/>
      <c r="Q488" s="320"/>
    </row>
    <row r="489" spans="16:17" ht="13">
      <c r="P489" s="320"/>
      <c r="Q489" s="320"/>
    </row>
    <row r="490" spans="16:17" ht="13">
      <c r="P490" s="320"/>
      <c r="Q490" s="320"/>
    </row>
    <row r="491" spans="16:17" ht="13">
      <c r="P491" s="320"/>
      <c r="Q491" s="320"/>
    </row>
    <row r="492" spans="16:17" ht="13">
      <c r="P492" s="320"/>
      <c r="Q492" s="320"/>
    </row>
    <row r="493" spans="16:17" ht="13">
      <c r="P493" s="320"/>
      <c r="Q493" s="320"/>
    </row>
    <row r="494" spans="16:17" ht="13">
      <c r="P494" s="320"/>
      <c r="Q494" s="320"/>
    </row>
    <row r="495" spans="16:17" ht="13">
      <c r="P495" s="320"/>
      <c r="Q495" s="320"/>
    </row>
    <row r="496" spans="16:17" ht="13">
      <c r="P496" s="320"/>
      <c r="Q496" s="320"/>
    </row>
    <row r="497" spans="16:17" ht="13">
      <c r="P497" s="320"/>
      <c r="Q497" s="320"/>
    </row>
    <row r="498" spans="16:17" ht="13">
      <c r="P498" s="320"/>
      <c r="Q498" s="320"/>
    </row>
    <row r="499" spans="16:17" ht="13">
      <c r="P499" s="320"/>
      <c r="Q499" s="320"/>
    </row>
    <row r="500" spans="16:17" ht="13">
      <c r="P500" s="320"/>
      <c r="Q500" s="320"/>
    </row>
    <row r="501" spans="16:17" ht="13">
      <c r="P501" s="320"/>
      <c r="Q501" s="320"/>
    </row>
    <row r="502" spans="16:17" ht="13">
      <c r="P502" s="320"/>
      <c r="Q502" s="320"/>
    </row>
    <row r="503" spans="16:17" ht="13">
      <c r="P503" s="320"/>
      <c r="Q503" s="320"/>
    </row>
    <row r="504" spans="16:17" ht="13">
      <c r="P504" s="320"/>
      <c r="Q504" s="320"/>
    </row>
    <row r="505" spans="16:17" ht="13">
      <c r="P505" s="320"/>
      <c r="Q505" s="320"/>
    </row>
    <row r="506" spans="16:17" ht="13">
      <c r="P506" s="320"/>
      <c r="Q506" s="320"/>
    </row>
    <row r="507" spans="16:17" ht="13">
      <c r="P507" s="320"/>
      <c r="Q507" s="320"/>
    </row>
    <row r="508" spans="16:17" ht="13">
      <c r="P508" s="320"/>
      <c r="Q508" s="320"/>
    </row>
    <row r="509" spans="16:17" ht="13">
      <c r="P509" s="320"/>
      <c r="Q509" s="320"/>
    </row>
    <row r="510" spans="16:17" ht="13">
      <c r="P510" s="320"/>
      <c r="Q510" s="320"/>
    </row>
    <row r="511" spans="16:17" ht="13">
      <c r="P511" s="320"/>
      <c r="Q511" s="320"/>
    </row>
    <row r="512" spans="16:17" ht="13">
      <c r="P512" s="320"/>
      <c r="Q512" s="320"/>
    </row>
    <row r="513" spans="16:17" ht="13">
      <c r="P513" s="320"/>
      <c r="Q513" s="320"/>
    </row>
    <row r="514" spans="16:17" ht="13">
      <c r="P514" s="320"/>
      <c r="Q514" s="320"/>
    </row>
    <row r="515" spans="16:17" ht="13">
      <c r="P515" s="320"/>
      <c r="Q515" s="320"/>
    </row>
    <row r="516" spans="16:17" ht="13">
      <c r="P516" s="320"/>
      <c r="Q516" s="320"/>
    </row>
    <row r="517" spans="16:17" ht="13">
      <c r="P517" s="320"/>
      <c r="Q517" s="320"/>
    </row>
    <row r="518" spans="16:17" ht="13">
      <c r="P518" s="320"/>
      <c r="Q518" s="320"/>
    </row>
    <row r="519" spans="16:17" ht="13">
      <c r="P519" s="320"/>
      <c r="Q519" s="320"/>
    </row>
    <row r="520" spans="16:17" ht="13">
      <c r="P520" s="320"/>
      <c r="Q520" s="320"/>
    </row>
    <row r="521" spans="16:17" ht="13">
      <c r="P521" s="320"/>
      <c r="Q521" s="320"/>
    </row>
    <row r="522" spans="16:17" ht="13">
      <c r="P522" s="320"/>
      <c r="Q522" s="320"/>
    </row>
    <row r="523" spans="16:17" ht="13">
      <c r="P523" s="320"/>
      <c r="Q523" s="320"/>
    </row>
    <row r="524" spans="16:17" ht="13">
      <c r="P524" s="320"/>
      <c r="Q524" s="320"/>
    </row>
    <row r="525" spans="16:17" ht="13">
      <c r="P525" s="320"/>
      <c r="Q525" s="320"/>
    </row>
    <row r="526" spans="16:17" ht="13">
      <c r="P526" s="320"/>
      <c r="Q526" s="320"/>
    </row>
    <row r="527" spans="16:17" ht="13">
      <c r="P527" s="320"/>
      <c r="Q527" s="320"/>
    </row>
    <row r="528" spans="16:17" ht="13">
      <c r="P528" s="320"/>
      <c r="Q528" s="320"/>
    </row>
    <row r="529" spans="16:17" ht="13">
      <c r="P529" s="320"/>
      <c r="Q529" s="320"/>
    </row>
    <row r="530" spans="16:17" ht="13">
      <c r="P530" s="320"/>
      <c r="Q530" s="320"/>
    </row>
    <row r="531" spans="16:17" ht="13">
      <c r="P531" s="320"/>
      <c r="Q531" s="320"/>
    </row>
    <row r="532" spans="16:17" ht="13">
      <c r="P532" s="320"/>
      <c r="Q532" s="320"/>
    </row>
    <row r="533" spans="16:17" ht="13">
      <c r="P533" s="320"/>
      <c r="Q533" s="320"/>
    </row>
    <row r="534" spans="16:17" ht="13">
      <c r="P534" s="320"/>
      <c r="Q534" s="320"/>
    </row>
    <row r="535" spans="16:17" ht="13">
      <c r="P535" s="320"/>
      <c r="Q535" s="320"/>
    </row>
    <row r="536" spans="16:17" ht="13">
      <c r="P536" s="320"/>
      <c r="Q536" s="320"/>
    </row>
    <row r="537" spans="16:17" ht="13">
      <c r="P537" s="320"/>
      <c r="Q537" s="320"/>
    </row>
    <row r="538" spans="16:17" ht="13">
      <c r="P538" s="320"/>
      <c r="Q538" s="320"/>
    </row>
    <row r="539" spans="16:17" ht="13">
      <c r="P539" s="320"/>
      <c r="Q539" s="320"/>
    </row>
    <row r="540" spans="16:17" ht="13">
      <c r="P540" s="320"/>
      <c r="Q540" s="320"/>
    </row>
    <row r="541" spans="16:17" ht="13">
      <c r="P541" s="320"/>
      <c r="Q541" s="320"/>
    </row>
    <row r="542" spans="16:17" ht="13">
      <c r="P542" s="320"/>
      <c r="Q542" s="320"/>
    </row>
    <row r="543" spans="16:17" ht="13">
      <c r="P543" s="320"/>
      <c r="Q543" s="320"/>
    </row>
    <row r="544" spans="16:17" ht="13">
      <c r="P544" s="320"/>
      <c r="Q544" s="320"/>
    </row>
    <row r="545" spans="16:17" ht="13">
      <c r="P545" s="320"/>
      <c r="Q545" s="320"/>
    </row>
    <row r="546" spans="16:17" ht="13">
      <c r="P546" s="320"/>
      <c r="Q546" s="320"/>
    </row>
    <row r="547" spans="16:17" ht="13">
      <c r="P547" s="320"/>
      <c r="Q547" s="320"/>
    </row>
    <row r="548" spans="16:17" ht="13">
      <c r="P548" s="320"/>
      <c r="Q548" s="320"/>
    </row>
    <row r="549" spans="16:17" ht="13">
      <c r="P549" s="320"/>
      <c r="Q549" s="320"/>
    </row>
    <row r="550" spans="16:17" ht="13">
      <c r="P550" s="320"/>
      <c r="Q550" s="320"/>
    </row>
    <row r="551" spans="16:17" ht="13">
      <c r="P551" s="320"/>
      <c r="Q551" s="320"/>
    </row>
    <row r="552" spans="16:17" ht="13">
      <c r="P552" s="320"/>
      <c r="Q552" s="320"/>
    </row>
    <row r="553" spans="16:17" ht="13">
      <c r="P553" s="320"/>
      <c r="Q553" s="320"/>
    </row>
    <row r="554" spans="16:17" ht="13">
      <c r="P554" s="320"/>
      <c r="Q554" s="320"/>
    </row>
    <row r="555" spans="16:17" ht="13">
      <c r="P555" s="320"/>
      <c r="Q555" s="320"/>
    </row>
    <row r="556" spans="16:17" ht="13">
      <c r="P556" s="320"/>
      <c r="Q556" s="320"/>
    </row>
    <row r="557" spans="16:17" ht="13">
      <c r="P557" s="320"/>
      <c r="Q557" s="320"/>
    </row>
    <row r="558" spans="16:17" ht="13">
      <c r="P558" s="320"/>
      <c r="Q558" s="320"/>
    </row>
    <row r="559" spans="16:17" ht="13">
      <c r="P559" s="320"/>
      <c r="Q559" s="320"/>
    </row>
    <row r="560" spans="16:17" ht="13">
      <c r="P560" s="320"/>
      <c r="Q560" s="320"/>
    </row>
    <row r="561" spans="16:17" ht="13">
      <c r="P561" s="320"/>
      <c r="Q561" s="320"/>
    </row>
    <row r="562" spans="16:17" ht="13">
      <c r="P562" s="320"/>
      <c r="Q562" s="320"/>
    </row>
    <row r="563" spans="16:17" ht="13">
      <c r="P563" s="320"/>
      <c r="Q563" s="320"/>
    </row>
    <row r="564" spans="16:17" ht="13">
      <c r="P564" s="320"/>
      <c r="Q564" s="320"/>
    </row>
    <row r="565" spans="16:17" ht="13">
      <c r="P565" s="320"/>
      <c r="Q565" s="320"/>
    </row>
    <row r="566" spans="16:17" ht="13">
      <c r="P566" s="320"/>
      <c r="Q566" s="320"/>
    </row>
    <row r="567" spans="16:17" ht="13">
      <c r="P567" s="320"/>
      <c r="Q567" s="320"/>
    </row>
    <row r="568" spans="16:17" ht="13">
      <c r="P568" s="320"/>
      <c r="Q568" s="320"/>
    </row>
    <row r="569" spans="16:17" ht="13">
      <c r="P569" s="320"/>
      <c r="Q569" s="320"/>
    </row>
    <row r="570" spans="16:17" ht="13">
      <c r="P570" s="320"/>
      <c r="Q570" s="320"/>
    </row>
    <row r="571" spans="16:17" ht="13">
      <c r="P571" s="320"/>
      <c r="Q571" s="320"/>
    </row>
    <row r="572" spans="16:17" ht="13">
      <c r="P572" s="320"/>
      <c r="Q572" s="320"/>
    </row>
    <row r="573" spans="16:17" ht="13">
      <c r="P573" s="320"/>
      <c r="Q573" s="320"/>
    </row>
    <row r="574" spans="16:17" ht="13">
      <c r="P574" s="320"/>
      <c r="Q574" s="320"/>
    </row>
    <row r="575" spans="16:17" ht="13">
      <c r="P575" s="320"/>
      <c r="Q575" s="320"/>
    </row>
    <row r="576" spans="16:17" ht="13">
      <c r="P576" s="320"/>
      <c r="Q576" s="320"/>
    </row>
    <row r="577" spans="16:17" ht="13">
      <c r="P577" s="320"/>
      <c r="Q577" s="320"/>
    </row>
    <row r="578" spans="16:17" ht="13">
      <c r="P578" s="320"/>
      <c r="Q578" s="320"/>
    </row>
    <row r="579" spans="16:17" ht="13">
      <c r="P579" s="320"/>
      <c r="Q579" s="320"/>
    </row>
    <row r="580" spans="16:17" ht="13">
      <c r="P580" s="320"/>
      <c r="Q580" s="320"/>
    </row>
    <row r="581" spans="16:17" ht="13">
      <c r="P581" s="320"/>
      <c r="Q581" s="320"/>
    </row>
    <row r="582" spans="16:17" ht="13">
      <c r="P582" s="320"/>
      <c r="Q582" s="320"/>
    </row>
    <row r="583" spans="16:17" ht="13">
      <c r="P583" s="320"/>
      <c r="Q583" s="320"/>
    </row>
    <row r="584" spans="16:17" ht="13">
      <c r="P584" s="320"/>
      <c r="Q584" s="320"/>
    </row>
    <row r="585" spans="16:17" ht="13">
      <c r="P585" s="320"/>
      <c r="Q585" s="320"/>
    </row>
    <row r="586" spans="16:17" ht="13">
      <c r="P586" s="320"/>
      <c r="Q586" s="320"/>
    </row>
    <row r="587" spans="16:17" ht="13">
      <c r="P587" s="320"/>
      <c r="Q587" s="320"/>
    </row>
    <row r="588" spans="16:17" ht="13">
      <c r="P588" s="320"/>
      <c r="Q588" s="320"/>
    </row>
    <row r="589" spans="16:17" ht="13">
      <c r="P589" s="320"/>
      <c r="Q589" s="320"/>
    </row>
    <row r="590" spans="16:17" ht="13">
      <c r="P590" s="320"/>
      <c r="Q590" s="320"/>
    </row>
    <row r="591" spans="16:17" ht="13">
      <c r="P591" s="320"/>
      <c r="Q591" s="320"/>
    </row>
    <row r="592" spans="16:17" ht="13">
      <c r="P592" s="320"/>
      <c r="Q592" s="320"/>
    </row>
    <row r="593" spans="16:17" ht="13">
      <c r="P593" s="320"/>
      <c r="Q593" s="320"/>
    </row>
    <row r="594" spans="16:17" ht="13">
      <c r="P594" s="320"/>
      <c r="Q594" s="320"/>
    </row>
    <row r="595" spans="16:17" ht="13">
      <c r="P595" s="320"/>
      <c r="Q595" s="320"/>
    </row>
    <row r="596" spans="16:17" ht="13">
      <c r="P596" s="320"/>
      <c r="Q596" s="320"/>
    </row>
    <row r="597" spans="16:17" ht="13">
      <c r="P597" s="320"/>
      <c r="Q597" s="320"/>
    </row>
    <row r="598" spans="16:17" ht="13">
      <c r="P598" s="320"/>
      <c r="Q598" s="320"/>
    </row>
    <row r="599" spans="16:17" ht="13">
      <c r="P599" s="320"/>
      <c r="Q599" s="320"/>
    </row>
    <row r="600" spans="16:17" ht="13">
      <c r="P600" s="320"/>
      <c r="Q600" s="320"/>
    </row>
    <row r="601" spans="16:17" ht="13">
      <c r="P601" s="320"/>
      <c r="Q601" s="320"/>
    </row>
    <row r="602" spans="16:17" ht="13">
      <c r="P602" s="320"/>
      <c r="Q602" s="320"/>
    </row>
    <row r="603" spans="16:17" ht="13">
      <c r="P603" s="320"/>
      <c r="Q603" s="320"/>
    </row>
    <row r="604" spans="16:17" ht="13">
      <c r="P604" s="320"/>
      <c r="Q604" s="320"/>
    </row>
    <row r="605" spans="16:17" ht="13">
      <c r="P605" s="320"/>
      <c r="Q605" s="320"/>
    </row>
    <row r="606" spans="16:17" ht="13">
      <c r="P606" s="320"/>
      <c r="Q606" s="320"/>
    </row>
    <row r="607" spans="16:17" ht="13">
      <c r="P607" s="320"/>
      <c r="Q607" s="320"/>
    </row>
    <row r="608" spans="16:17" ht="13">
      <c r="P608" s="320"/>
      <c r="Q608" s="320"/>
    </row>
    <row r="609" spans="16:17" ht="13">
      <c r="P609" s="320"/>
      <c r="Q609" s="320"/>
    </row>
    <row r="610" spans="16:17" ht="13">
      <c r="P610" s="320"/>
      <c r="Q610" s="320"/>
    </row>
    <row r="611" spans="16:17" ht="13">
      <c r="P611" s="320"/>
      <c r="Q611" s="320"/>
    </row>
    <row r="612" spans="16:17" ht="13">
      <c r="P612" s="320"/>
      <c r="Q612" s="320"/>
    </row>
    <row r="613" spans="16:17" ht="13">
      <c r="P613" s="320"/>
      <c r="Q613" s="320"/>
    </row>
    <row r="614" spans="16:17" ht="13">
      <c r="P614" s="320"/>
      <c r="Q614" s="320"/>
    </row>
    <row r="615" spans="16:17" ht="13">
      <c r="P615" s="320"/>
      <c r="Q615" s="320"/>
    </row>
    <row r="616" spans="16:17" ht="13">
      <c r="P616" s="320"/>
      <c r="Q616" s="320"/>
    </row>
    <row r="617" spans="16:17" ht="13">
      <c r="P617" s="320"/>
      <c r="Q617" s="320"/>
    </row>
    <row r="618" spans="16:17" ht="13">
      <c r="P618" s="320"/>
      <c r="Q618" s="320"/>
    </row>
    <row r="619" spans="16:17" ht="13">
      <c r="P619" s="320"/>
      <c r="Q619" s="320"/>
    </row>
    <row r="620" spans="16:17" ht="13">
      <c r="P620" s="320"/>
      <c r="Q620" s="320"/>
    </row>
    <row r="621" spans="16:17" ht="13">
      <c r="P621" s="320"/>
      <c r="Q621" s="320"/>
    </row>
    <row r="622" spans="16:17" ht="13">
      <c r="P622" s="320"/>
      <c r="Q622" s="320"/>
    </row>
    <row r="623" spans="16:17" ht="13">
      <c r="P623" s="320"/>
      <c r="Q623" s="320"/>
    </row>
    <row r="624" spans="16:17" ht="13">
      <c r="P624" s="320"/>
      <c r="Q624" s="320"/>
    </row>
    <row r="625" spans="16:17" ht="13">
      <c r="P625" s="320"/>
      <c r="Q625" s="320"/>
    </row>
    <row r="626" spans="16:17" ht="13">
      <c r="P626" s="320"/>
      <c r="Q626" s="320"/>
    </row>
    <row r="627" spans="16:17" ht="13">
      <c r="P627" s="320"/>
      <c r="Q627" s="320"/>
    </row>
    <row r="628" spans="16:17" ht="13">
      <c r="P628" s="320"/>
      <c r="Q628" s="320"/>
    </row>
    <row r="629" spans="16:17" ht="13">
      <c r="P629" s="320"/>
      <c r="Q629" s="320"/>
    </row>
    <row r="630" spans="16:17" ht="13">
      <c r="P630" s="320"/>
      <c r="Q630" s="320"/>
    </row>
    <row r="631" spans="16:17" ht="13">
      <c r="P631" s="320"/>
      <c r="Q631" s="320"/>
    </row>
    <row r="632" spans="16:17" ht="13">
      <c r="P632" s="320"/>
      <c r="Q632" s="320"/>
    </row>
    <row r="633" spans="16:17" ht="13">
      <c r="P633" s="320"/>
      <c r="Q633" s="320"/>
    </row>
    <row r="634" spans="16:17" ht="13">
      <c r="P634" s="320"/>
      <c r="Q634" s="320"/>
    </row>
    <row r="635" spans="16:17" ht="13">
      <c r="P635" s="320"/>
      <c r="Q635" s="320"/>
    </row>
    <row r="636" spans="16:17" ht="13">
      <c r="P636" s="320"/>
      <c r="Q636" s="320"/>
    </row>
    <row r="637" spans="16:17" ht="13">
      <c r="P637" s="320"/>
      <c r="Q637" s="320"/>
    </row>
    <row r="638" spans="16:17" ht="13">
      <c r="P638" s="320"/>
      <c r="Q638" s="320"/>
    </row>
    <row r="639" spans="16:17" ht="13">
      <c r="P639" s="320"/>
      <c r="Q639" s="320"/>
    </row>
    <row r="640" spans="16:17" ht="13">
      <c r="P640" s="320"/>
      <c r="Q640" s="320"/>
    </row>
    <row r="641" spans="16:17" ht="13">
      <c r="P641" s="320"/>
      <c r="Q641" s="320"/>
    </row>
    <row r="642" spans="16:17" ht="13">
      <c r="P642" s="320"/>
      <c r="Q642" s="320"/>
    </row>
    <row r="643" spans="16:17" ht="13">
      <c r="P643" s="320"/>
      <c r="Q643" s="320"/>
    </row>
    <row r="644" spans="16:17" ht="13">
      <c r="P644" s="320"/>
      <c r="Q644" s="320"/>
    </row>
    <row r="645" spans="16:17" ht="13">
      <c r="P645" s="320"/>
      <c r="Q645" s="320"/>
    </row>
    <row r="646" spans="16:17" ht="13">
      <c r="P646" s="320"/>
      <c r="Q646" s="320"/>
    </row>
    <row r="647" spans="16:17" ht="13">
      <c r="P647" s="320"/>
      <c r="Q647" s="320"/>
    </row>
    <row r="648" spans="16:17" ht="13">
      <c r="P648" s="320"/>
      <c r="Q648" s="320"/>
    </row>
    <row r="649" spans="16:17" ht="13">
      <c r="P649" s="320"/>
      <c r="Q649" s="320"/>
    </row>
    <row r="650" spans="16:17" ht="13">
      <c r="P650" s="320"/>
      <c r="Q650" s="320"/>
    </row>
    <row r="651" spans="16:17" ht="13">
      <c r="P651" s="320"/>
      <c r="Q651" s="320"/>
    </row>
    <row r="652" spans="16:17" ht="13">
      <c r="P652" s="320"/>
      <c r="Q652" s="320"/>
    </row>
    <row r="653" spans="16:17" ht="13">
      <c r="P653" s="320"/>
      <c r="Q653" s="320"/>
    </row>
    <row r="654" spans="16:17" ht="13">
      <c r="P654" s="320"/>
      <c r="Q654" s="320"/>
    </row>
    <row r="655" spans="16:17" ht="13">
      <c r="P655" s="320"/>
      <c r="Q655" s="320"/>
    </row>
    <row r="656" spans="16:17" ht="13">
      <c r="P656" s="320"/>
      <c r="Q656" s="320"/>
    </row>
    <row r="657" spans="16:17" ht="13">
      <c r="P657" s="320"/>
      <c r="Q657" s="320"/>
    </row>
    <row r="658" spans="16:17" ht="13">
      <c r="P658" s="320"/>
      <c r="Q658" s="320"/>
    </row>
    <row r="659" spans="16:17" ht="13">
      <c r="P659" s="320"/>
      <c r="Q659" s="320"/>
    </row>
    <row r="660" spans="16:17" ht="13">
      <c r="P660" s="320"/>
      <c r="Q660" s="320"/>
    </row>
    <row r="661" spans="16:17" ht="13">
      <c r="P661" s="320"/>
      <c r="Q661" s="320"/>
    </row>
    <row r="662" spans="16:17" ht="13">
      <c r="P662" s="320"/>
      <c r="Q662" s="320"/>
    </row>
    <row r="663" spans="16:17" ht="13">
      <c r="P663" s="320"/>
      <c r="Q663" s="320"/>
    </row>
    <row r="664" spans="16:17" ht="13">
      <c r="P664" s="320"/>
      <c r="Q664" s="320"/>
    </row>
    <row r="665" spans="16:17" ht="13">
      <c r="P665" s="320"/>
      <c r="Q665" s="320"/>
    </row>
    <row r="666" spans="16:17" ht="13">
      <c r="P666" s="320"/>
      <c r="Q666" s="320"/>
    </row>
    <row r="667" spans="16:17" ht="13">
      <c r="P667" s="320"/>
      <c r="Q667" s="320"/>
    </row>
    <row r="668" spans="16:17" ht="13">
      <c r="P668" s="320"/>
      <c r="Q668" s="320"/>
    </row>
    <row r="669" spans="16:17" ht="13">
      <c r="P669" s="320"/>
      <c r="Q669" s="320"/>
    </row>
    <row r="670" spans="16:17" ht="13">
      <c r="P670" s="320"/>
      <c r="Q670" s="320"/>
    </row>
    <row r="671" spans="16:17" ht="13">
      <c r="P671" s="320"/>
      <c r="Q671" s="320"/>
    </row>
    <row r="672" spans="16:17" ht="13">
      <c r="P672" s="320"/>
      <c r="Q672" s="320"/>
    </row>
    <row r="673" spans="16:17" ht="13">
      <c r="P673" s="320"/>
      <c r="Q673" s="320"/>
    </row>
    <row r="674" spans="16:17" ht="13">
      <c r="P674" s="320"/>
      <c r="Q674" s="320"/>
    </row>
    <row r="675" spans="16:17" ht="13">
      <c r="P675" s="320"/>
      <c r="Q675" s="320"/>
    </row>
    <row r="676" spans="16:17" ht="13">
      <c r="P676" s="320"/>
      <c r="Q676" s="320"/>
    </row>
    <row r="677" spans="16:17" ht="13">
      <c r="P677" s="320"/>
      <c r="Q677" s="320"/>
    </row>
    <row r="678" spans="16:17" ht="13">
      <c r="P678" s="320"/>
      <c r="Q678" s="320"/>
    </row>
    <row r="679" spans="16:17" ht="13">
      <c r="P679" s="320"/>
      <c r="Q679" s="320"/>
    </row>
    <row r="680" spans="16:17" ht="13">
      <c r="P680" s="320"/>
      <c r="Q680" s="320"/>
    </row>
    <row r="681" spans="16:17" ht="13">
      <c r="P681" s="320"/>
      <c r="Q681" s="320"/>
    </row>
    <row r="682" spans="16:17" ht="13">
      <c r="P682" s="320"/>
      <c r="Q682" s="320"/>
    </row>
    <row r="683" spans="16:17" ht="13">
      <c r="P683" s="320"/>
      <c r="Q683" s="320"/>
    </row>
    <row r="684" spans="16:17" ht="13">
      <c r="P684" s="320"/>
      <c r="Q684" s="320"/>
    </row>
    <row r="685" spans="16:17" ht="13">
      <c r="P685" s="320"/>
      <c r="Q685" s="320"/>
    </row>
    <row r="686" spans="16:17" ht="13">
      <c r="P686" s="320"/>
      <c r="Q686" s="320"/>
    </row>
    <row r="687" spans="16:17" ht="13">
      <c r="P687" s="320"/>
      <c r="Q687" s="320"/>
    </row>
    <row r="688" spans="16:17" ht="13">
      <c r="P688" s="320"/>
      <c r="Q688" s="320"/>
    </row>
    <row r="689" spans="16:17" ht="13">
      <c r="P689" s="320"/>
      <c r="Q689" s="320"/>
    </row>
    <row r="690" spans="16:17" ht="13">
      <c r="P690" s="320"/>
      <c r="Q690" s="320"/>
    </row>
    <row r="691" spans="16:17" ht="13">
      <c r="P691" s="320"/>
      <c r="Q691" s="320"/>
    </row>
    <row r="692" spans="16:17" ht="13">
      <c r="P692" s="320"/>
      <c r="Q692" s="320"/>
    </row>
    <row r="693" spans="16:17" ht="13">
      <c r="P693" s="320"/>
      <c r="Q693" s="320"/>
    </row>
    <row r="694" spans="16:17" ht="13">
      <c r="P694" s="320"/>
      <c r="Q694" s="320"/>
    </row>
    <row r="695" spans="16:17" ht="13">
      <c r="P695" s="320"/>
      <c r="Q695" s="320"/>
    </row>
    <row r="696" spans="16:17" ht="13">
      <c r="P696" s="320"/>
      <c r="Q696" s="320"/>
    </row>
    <row r="697" spans="16:17" ht="13">
      <c r="P697" s="320"/>
      <c r="Q697" s="320"/>
    </row>
    <row r="698" spans="16:17" ht="13">
      <c r="P698" s="320"/>
      <c r="Q698" s="320"/>
    </row>
    <row r="699" spans="16:17" ht="13">
      <c r="P699" s="320"/>
      <c r="Q699" s="320"/>
    </row>
    <row r="700" spans="16:17" ht="13">
      <c r="P700" s="320"/>
      <c r="Q700" s="320"/>
    </row>
    <row r="701" spans="16:17" ht="13">
      <c r="P701" s="320"/>
      <c r="Q701" s="320"/>
    </row>
    <row r="702" spans="16:17" ht="13">
      <c r="P702" s="320"/>
      <c r="Q702" s="320"/>
    </row>
    <row r="703" spans="16:17" ht="13">
      <c r="P703" s="320"/>
      <c r="Q703" s="320"/>
    </row>
    <row r="704" spans="16:17" ht="13">
      <c r="P704" s="320"/>
      <c r="Q704" s="320"/>
    </row>
    <row r="705" spans="16:17" ht="13">
      <c r="P705" s="320"/>
      <c r="Q705" s="320"/>
    </row>
    <row r="706" spans="16:17" ht="13">
      <c r="P706" s="320"/>
      <c r="Q706" s="320"/>
    </row>
    <row r="707" spans="16:17" ht="13">
      <c r="P707" s="320"/>
      <c r="Q707" s="320"/>
    </row>
    <row r="708" spans="16:17" ht="13">
      <c r="P708" s="320"/>
      <c r="Q708" s="320"/>
    </row>
    <row r="709" spans="16:17" ht="13">
      <c r="P709" s="320"/>
      <c r="Q709" s="320"/>
    </row>
    <row r="710" spans="16:17" ht="13">
      <c r="P710" s="320"/>
      <c r="Q710" s="320"/>
    </row>
    <row r="711" spans="16:17" ht="13">
      <c r="P711" s="320"/>
      <c r="Q711" s="320"/>
    </row>
    <row r="712" spans="16:17" ht="13">
      <c r="P712" s="320"/>
      <c r="Q712" s="320"/>
    </row>
    <row r="713" spans="16:17" ht="13">
      <c r="P713" s="320"/>
      <c r="Q713" s="320"/>
    </row>
    <row r="714" spans="16:17" ht="13">
      <c r="P714" s="320"/>
      <c r="Q714" s="320"/>
    </row>
    <row r="715" spans="16:17" ht="13">
      <c r="P715" s="320"/>
      <c r="Q715" s="320"/>
    </row>
    <row r="716" spans="16:17" ht="13">
      <c r="P716" s="320"/>
      <c r="Q716" s="320"/>
    </row>
    <row r="717" spans="16:17" ht="13">
      <c r="P717" s="320"/>
      <c r="Q717" s="320"/>
    </row>
    <row r="718" spans="16:17" ht="13">
      <c r="P718" s="320"/>
      <c r="Q718" s="320"/>
    </row>
    <row r="719" spans="16:17" ht="13">
      <c r="P719" s="320"/>
      <c r="Q719" s="320"/>
    </row>
    <row r="720" spans="16:17" ht="13">
      <c r="P720" s="320"/>
      <c r="Q720" s="320"/>
    </row>
    <row r="721" spans="16:17" ht="13">
      <c r="P721" s="320"/>
      <c r="Q721" s="320"/>
    </row>
    <row r="722" spans="16:17" ht="13">
      <c r="P722" s="320"/>
      <c r="Q722" s="320"/>
    </row>
    <row r="723" spans="16:17" ht="13">
      <c r="P723" s="320"/>
      <c r="Q723" s="320"/>
    </row>
    <row r="724" spans="16:17" ht="13">
      <c r="P724" s="320"/>
      <c r="Q724" s="320"/>
    </row>
    <row r="725" spans="16:17" ht="13">
      <c r="P725" s="320"/>
      <c r="Q725" s="320"/>
    </row>
    <row r="726" spans="16:17" ht="13">
      <c r="P726" s="320"/>
      <c r="Q726" s="320"/>
    </row>
    <row r="727" spans="16:17" ht="13">
      <c r="P727" s="320"/>
      <c r="Q727" s="320"/>
    </row>
    <row r="728" spans="16:17" ht="13">
      <c r="P728" s="320"/>
      <c r="Q728" s="320"/>
    </row>
    <row r="729" spans="16:17" ht="13">
      <c r="P729" s="320"/>
      <c r="Q729" s="320"/>
    </row>
    <row r="730" spans="16:17" ht="13">
      <c r="P730" s="320"/>
      <c r="Q730" s="320"/>
    </row>
    <row r="731" spans="16:17" ht="13">
      <c r="P731" s="320"/>
      <c r="Q731" s="320"/>
    </row>
    <row r="732" spans="16:17" ht="13">
      <c r="P732" s="320"/>
      <c r="Q732" s="320"/>
    </row>
    <row r="733" spans="16:17" ht="13">
      <c r="P733" s="320"/>
      <c r="Q733" s="320"/>
    </row>
    <row r="734" spans="16:17" ht="13">
      <c r="P734" s="320"/>
      <c r="Q734" s="320"/>
    </row>
    <row r="735" spans="16:17" ht="13">
      <c r="P735" s="320"/>
      <c r="Q735" s="320"/>
    </row>
    <row r="736" spans="16:17" ht="13">
      <c r="P736" s="320"/>
      <c r="Q736" s="320"/>
    </row>
    <row r="737" spans="16:17" ht="13">
      <c r="P737" s="320"/>
      <c r="Q737" s="320"/>
    </row>
    <row r="738" spans="16:17" ht="13">
      <c r="P738" s="320"/>
      <c r="Q738" s="320"/>
    </row>
    <row r="739" spans="16:17" ht="13">
      <c r="P739" s="320"/>
      <c r="Q739" s="320"/>
    </row>
    <row r="740" spans="16:17" ht="13">
      <c r="P740" s="320"/>
      <c r="Q740" s="320"/>
    </row>
    <row r="741" spans="16:17" ht="13">
      <c r="P741" s="320"/>
      <c r="Q741" s="320"/>
    </row>
    <row r="742" spans="16:17" ht="13">
      <c r="P742" s="320"/>
      <c r="Q742" s="320"/>
    </row>
    <row r="743" spans="16:17" ht="13">
      <c r="P743" s="320"/>
      <c r="Q743" s="320"/>
    </row>
    <row r="744" spans="16:17" ht="13">
      <c r="P744" s="320"/>
      <c r="Q744" s="320"/>
    </row>
    <row r="745" spans="16:17" ht="13">
      <c r="P745" s="320"/>
      <c r="Q745" s="320"/>
    </row>
    <row r="746" spans="16:17" ht="13">
      <c r="P746" s="320"/>
      <c r="Q746" s="320"/>
    </row>
    <row r="747" spans="16:17" ht="13">
      <c r="P747" s="320"/>
      <c r="Q747" s="320"/>
    </row>
    <row r="748" spans="16:17" ht="13">
      <c r="P748" s="320"/>
      <c r="Q748" s="320"/>
    </row>
    <row r="749" spans="16:17" ht="13">
      <c r="P749" s="320"/>
      <c r="Q749" s="320"/>
    </row>
    <row r="750" spans="16:17" ht="13">
      <c r="P750" s="320"/>
      <c r="Q750" s="320"/>
    </row>
    <row r="751" spans="16:17" ht="13">
      <c r="P751" s="320"/>
      <c r="Q751" s="320"/>
    </row>
    <row r="752" spans="16:17" ht="13">
      <c r="P752" s="320"/>
      <c r="Q752" s="320"/>
    </row>
    <row r="753" spans="16:17" ht="13">
      <c r="P753" s="320"/>
      <c r="Q753" s="320"/>
    </row>
    <row r="754" spans="16:17" ht="13">
      <c r="P754" s="320"/>
      <c r="Q754" s="320"/>
    </row>
    <row r="755" spans="16:17" ht="13">
      <c r="P755" s="320"/>
      <c r="Q755" s="320"/>
    </row>
    <row r="756" spans="16:17" ht="13">
      <c r="P756" s="320"/>
      <c r="Q756" s="320"/>
    </row>
    <row r="757" spans="16:17" ht="13">
      <c r="P757" s="320"/>
      <c r="Q757" s="320"/>
    </row>
    <row r="758" spans="16:17" ht="13">
      <c r="P758" s="320"/>
      <c r="Q758" s="320"/>
    </row>
    <row r="759" spans="16:17" ht="13">
      <c r="P759" s="320"/>
      <c r="Q759" s="320"/>
    </row>
    <row r="760" spans="16:17" ht="13">
      <c r="P760" s="320"/>
      <c r="Q760" s="320"/>
    </row>
    <row r="761" spans="16:17" ht="13">
      <c r="P761" s="320"/>
      <c r="Q761" s="320"/>
    </row>
    <row r="762" spans="16:17" ht="13">
      <c r="P762" s="320"/>
      <c r="Q762" s="320"/>
    </row>
    <row r="763" spans="16:17" ht="13">
      <c r="P763" s="320"/>
      <c r="Q763" s="320"/>
    </row>
    <row r="764" spans="16:17" ht="13">
      <c r="P764" s="320"/>
      <c r="Q764" s="320"/>
    </row>
    <row r="765" spans="16:17" ht="13">
      <c r="P765" s="320"/>
      <c r="Q765" s="320"/>
    </row>
    <row r="766" spans="16:17" ht="13">
      <c r="P766" s="320"/>
      <c r="Q766" s="320"/>
    </row>
    <row r="767" spans="16:17" ht="13">
      <c r="P767" s="320"/>
      <c r="Q767" s="320"/>
    </row>
    <row r="768" spans="16:17" ht="13">
      <c r="P768" s="320"/>
      <c r="Q768" s="320"/>
    </row>
    <row r="769" spans="16:17" ht="13">
      <c r="P769" s="320"/>
      <c r="Q769" s="320"/>
    </row>
    <row r="770" spans="16:17" ht="13">
      <c r="P770" s="320"/>
      <c r="Q770" s="320"/>
    </row>
    <row r="771" spans="16:17" ht="13">
      <c r="P771" s="320"/>
      <c r="Q771" s="320"/>
    </row>
    <row r="772" spans="16:17" ht="13">
      <c r="P772" s="320"/>
      <c r="Q772" s="320"/>
    </row>
    <row r="773" spans="16:17" ht="13">
      <c r="P773" s="320"/>
      <c r="Q773" s="320"/>
    </row>
    <row r="774" spans="16:17" ht="13">
      <c r="P774" s="320"/>
      <c r="Q774" s="320"/>
    </row>
    <row r="775" spans="16:17" ht="13">
      <c r="P775" s="320"/>
      <c r="Q775" s="320"/>
    </row>
    <row r="776" spans="16:17" ht="13">
      <c r="P776" s="320"/>
      <c r="Q776" s="320"/>
    </row>
    <row r="777" spans="16:17" ht="13">
      <c r="P777" s="320"/>
      <c r="Q777" s="320"/>
    </row>
    <row r="778" spans="16:17" ht="13">
      <c r="P778" s="320"/>
      <c r="Q778" s="320"/>
    </row>
    <row r="779" spans="16:17" ht="13">
      <c r="P779" s="320"/>
      <c r="Q779" s="320"/>
    </row>
    <row r="780" spans="16:17" ht="13">
      <c r="P780" s="320"/>
      <c r="Q780" s="320"/>
    </row>
    <row r="781" spans="16:17" ht="13">
      <c r="P781" s="320"/>
      <c r="Q781" s="320"/>
    </row>
    <row r="782" spans="16:17" ht="13">
      <c r="P782" s="320"/>
      <c r="Q782" s="320"/>
    </row>
    <row r="783" spans="16:17" ht="13">
      <c r="P783" s="320"/>
      <c r="Q783" s="320"/>
    </row>
    <row r="784" spans="16:17" ht="13">
      <c r="P784" s="320"/>
      <c r="Q784" s="320"/>
    </row>
    <row r="785" spans="16:17" ht="13">
      <c r="P785" s="320"/>
      <c r="Q785" s="320"/>
    </row>
    <row r="786" spans="16:17" ht="13">
      <c r="P786" s="320"/>
      <c r="Q786" s="320"/>
    </row>
    <row r="787" spans="16:17" ht="13">
      <c r="P787" s="320"/>
      <c r="Q787" s="320"/>
    </row>
    <row r="788" spans="16:17" ht="13">
      <c r="P788" s="320"/>
      <c r="Q788" s="320"/>
    </row>
    <row r="789" spans="16:17" ht="13">
      <c r="P789" s="320"/>
      <c r="Q789" s="320"/>
    </row>
    <row r="790" spans="16:17" ht="13">
      <c r="P790" s="320"/>
      <c r="Q790" s="320"/>
    </row>
    <row r="791" spans="16:17" ht="13">
      <c r="P791" s="320"/>
      <c r="Q791" s="320"/>
    </row>
    <row r="792" spans="16:17" ht="13">
      <c r="P792" s="320"/>
      <c r="Q792" s="320"/>
    </row>
    <row r="793" spans="16:17" ht="13">
      <c r="P793" s="320"/>
      <c r="Q793" s="320"/>
    </row>
    <row r="794" spans="16:17" ht="13">
      <c r="P794" s="320"/>
      <c r="Q794" s="320"/>
    </row>
    <row r="795" spans="16:17" ht="13">
      <c r="P795" s="320"/>
      <c r="Q795" s="320"/>
    </row>
    <row r="796" spans="16:17" ht="13">
      <c r="P796" s="320"/>
      <c r="Q796" s="320"/>
    </row>
    <row r="797" spans="16:17" ht="13">
      <c r="P797" s="320"/>
      <c r="Q797" s="320"/>
    </row>
    <row r="798" spans="16:17" ht="13">
      <c r="P798" s="320"/>
      <c r="Q798" s="320"/>
    </row>
    <row r="799" spans="16:17" ht="13">
      <c r="P799" s="320"/>
      <c r="Q799" s="320"/>
    </row>
    <row r="800" spans="16:17" ht="13">
      <c r="P800" s="320"/>
      <c r="Q800" s="320"/>
    </row>
    <row r="801" spans="16:17" ht="13">
      <c r="P801" s="320"/>
      <c r="Q801" s="320"/>
    </row>
    <row r="802" spans="16:17" ht="13">
      <c r="P802" s="320"/>
      <c r="Q802" s="320"/>
    </row>
    <row r="803" spans="16:17" ht="13">
      <c r="P803" s="320"/>
      <c r="Q803" s="320"/>
    </row>
    <row r="804" spans="16:17" ht="13">
      <c r="P804" s="320"/>
      <c r="Q804" s="320"/>
    </row>
    <row r="805" spans="16:17" ht="13">
      <c r="P805" s="320"/>
      <c r="Q805" s="320"/>
    </row>
    <row r="806" spans="16:17" ht="13">
      <c r="P806" s="320"/>
      <c r="Q806" s="320"/>
    </row>
    <row r="807" spans="16:17" ht="13">
      <c r="P807" s="320"/>
      <c r="Q807" s="320"/>
    </row>
    <row r="808" spans="16:17" ht="13">
      <c r="P808" s="320"/>
      <c r="Q808" s="320"/>
    </row>
    <row r="809" spans="16:17" ht="13">
      <c r="P809" s="320"/>
      <c r="Q809" s="320"/>
    </row>
    <row r="810" spans="16:17" ht="13">
      <c r="P810" s="320"/>
      <c r="Q810" s="320"/>
    </row>
    <row r="811" spans="16:17" ht="13">
      <c r="P811" s="320"/>
      <c r="Q811" s="320"/>
    </row>
    <row r="812" spans="16:17" ht="13">
      <c r="P812" s="320"/>
      <c r="Q812" s="320"/>
    </row>
    <row r="813" spans="16:17" ht="13">
      <c r="P813" s="320"/>
      <c r="Q813" s="320"/>
    </row>
    <row r="814" spans="16:17" ht="13">
      <c r="P814" s="320"/>
      <c r="Q814" s="320"/>
    </row>
    <row r="815" spans="16:17" ht="13">
      <c r="P815" s="320"/>
      <c r="Q815" s="320"/>
    </row>
    <row r="816" spans="16:17" ht="13">
      <c r="P816" s="320"/>
      <c r="Q816" s="320"/>
    </row>
    <row r="817" spans="16:17" ht="13">
      <c r="P817" s="320"/>
      <c r="Q817" s="320"/>
    </row>
    <row r="818" spans="16:17" ht="13">
      <c r="P818" s="320"/>
      <c r="Q818" s="320"/>
    </row>
    <row r="819" spans="16:17" ht="13">
      <c r="P819" s="320"/>
      <c r="Q819" s="320"/>
    </row>
    <row r="820" spans="16:17" ht="13">
      <c r="P820" s="320"/>
      <c r="Q820" s="320"/>
    </row>
    <row r="821" spans="16:17" ht="13">
      <c r="P821" s="320"/>
      <c r="Q821" s="320"/>
    </row>
    <row r="822" spans="16:17" ht="13">
      <c r="P822" s="320"/>
      <c r="Q822" s="320"/>
    </row>
    <row r="823" spans="16:17" ht="13">
      <c r="P823" s="320"/>
      <c r="Q823" s="320"/>
    </row>
    <row r="824" spans="16:17" ht="13">
      <c r="P824" s="320"/>
      <c r="Q824" s="320"/>
    </row>
    <row r="825" spans="16:17" ht="13">
      <c r="P825" s="320"/>
      <c r="Q825" s="320"/>
    </row>
    <row r="826" spans="16:17" ht="13">
      <c r="P826" s="320"/>
      <c r="Q826" s="320"/>
    </row>
    <row r="827" spans="16:17" ht="13">
      <c r="P827" s="320"/>
      <c r="Q827" s="320"/>
    </row>
    <row r="828" spans="16:17" ht="13">
      <c r="P828" s="320"/>
      <c r="Q828" s="320"/>
    </row>
    <row r="829" spans="16:17" ht="13">
      <c r="P829" s="320"/>
      <c r="Q829" s="320"/>
    </row>
    <row r="830" spans="16:17" ht="13">
      <c r="P830" s="320"/>
      <c r="Q830" s="320"/>
    </row>
    <row r="831" spans="16:17" ht="13">
      <c r="P831" s="320"/>
      <c r="Q831" s="320"/>
    </row>
    <row r="832" spans="16:17" ht="13">
      <c r="P832" s="320"/>
      <c r="Q832" s="320"/>
    </row>
    <row r="833" spans="16:17" ht="13">
      <c r="P833" s="320"/>
      <c r="Q833" s="320"/>
    </row>
    <row r="834" spans="16:17" ht="13">
      <c r="P834" s="320"/>
      <c r="Q834" s="320"/>
    </row>
    <row r="835" spans="16:17" ht="13">
      <c r="P835" s="320"/>
      <c r="Q835" s="320"/>
    </row>
    <row r="836" spans="16:17" ht="13">
      <c r="P836" s="320"/>
      <c r="Q836" s="320"/>
    </row>
    <row r="837" spans="16:17" ht="13">
      <c r="P837" s="320"/>
      <c r="Q837" s="320"/>
    </row>
    <row r="838" spans="16:17" ht="13">
      <c r="P838" s="320"/>
      <c r="Q838" s="320"/>
    </row>
    <row r="839" spans="16:17" ht="13">
      <c r="P839" s="320"/>
      <c r="Q839" s="320"/>
    </row>
    <row r="840" spans="16:17" ht="13">
      <c r="P840" s="320"/>
      <c r="Q840" s="320"/>
    </row>
    <row r="841" spans="16:17" ht="13">
      <c r="P841" s="320"/>
      <c r="Q841" s="320"/>
    </row>
    <row r="842" spans="16:17" ht="13">
      <c r="P842" s="320"/>
      <c r="Q842" s="320"/>
    </row>
    <row r="843" spans="16:17" ht="13">
      <c r="P843" s="320"/>
      <c r="Q843" s="320"/>
    </row>
    <row r="844" spans="16:17" ht="13">
      <c r="P844" s="320"/>
      <c r="Q844" s="320"/>
    </row>
    <row r="845" spans="16:17" ht="13">
      <c r="P845" s="320"/>
      <c r="Q845" s="320"/>
    </row>
    <row r="846" spans="16:17" ht="13">
      <c r="P846" s="320"/>
      <c r="Q846" s="320"/>
    </row>
    <row r="847" spans="16:17" ht="13">
      <c r="P847" s="320"/>
      <c r="Q847" s="320"/>
    </row>
    <row r="848" spans="16:17" ht="13">
      <c r="P848" s="320"/>
      <c r="Q848" s="320"/>
    </row>
    <row r="849" spans="16:17" ht="13">
      <c r="P849" s="320"/>
      <c r="Q849" s="320"/>
    </row>
    <row r="850" spans="16:17" ht="13">
      <c r="P850" s="320"/>
      <c r="Q850" s="320"/>
    </row>
    <row r="851" spans="16:17" ht="13">
      <c r="P851" s="320"/>
      <c r="Q851" s="320"/>
    </row>
    <row r="852" spans="16:17" ht="13">
      <c r="P852" s="320"/>
      <c r="Q852" s="320"/>
    </row>
    <row r="853" spans="16:17" ht="13">
      <c r="P853" s="320"/>
      <c r="Q853" s="320"/>
    </row>
    <row r="854" spans="16:17" ht="13">
      <c r="P854" s="320"/>
      <c r="Q854" s="320"/>
    </row>
    <row r="855" spans="16:17" ht="13">
      <c r="P855" s="320"/>
      <c r="Q855" s="320"/>
    </row>
    <row r="856" spans="16:17" ht="13">
      <c r="P856" s="320"/>
      <c r="Q856" s="320"/>
    </row>
    <row r="857" spans="16:17" ht="13">
      <c r="P857" s="320"/>
      <c r="Q857" s="320"/>
    </row>
    <row r="858" spans="16:17" ht="13">
      <c r="P858" s="320"/>
      <c r="Q858" s="320"/>
    </row>
    <row r="859" spans="16:17" ht="13">
      <c r="P859" s="320"/>
      <c r="Q859" s="320"/>
    </row>
    <row r="860" spans="16:17" ht="13">
      <c r="P860" s="320"/>
      <c r="Q860" s="320"/>
    </row>
    <row r="861" spans="16:17" ht="13">
      <c r="P861" s="320"/>
      <c r="Q861" s="320"/>
    </row>
    <row r="862" spans="16:17" ht="13">
      <c r="P862" s="320"/>
      <c r="Q862" s="320"/>
    </row>
    <row r="863" spans="16:17" ht="13">
      <c r="P863" s="320"/>
      <c r="Q863" s="320"/>
    </row>
    <row r="864" spans="16:17" ht="13">
      <c r="P864" s="320"/>
      <c r="Q864" s="320"/>
    </row>
    <row r="865" spans="16:17" ht="13">
      <c r="P865" s="320"/>
      <c r="Q865" s="320"/>
    </row>
    <row r="866" spans="16:17" ht="13">
      <c r="P866" s="320"/>
      <c r="Q866" s="320"/>
    </row>
    <row r="867" spans="16:17" ht="13">
      <c r="P867" s="320"/>
      <c r="Q867" s="320"/>
    </row>
    <row r="868" spans="16:17" ht="13">
      <c r="P868" s="320"/>
      <c r="Q868" s="320"/>
    </row>
    <row r="869" spans="16:17" ht="13">
      <c r="P869" s="320"/>
      <c r="Q869" s="320"/>
    </row>
    <row r="870" spans="16:17" ht="13">
      <c r="P870" s="320"/>
      <c r="Q870" s="320"/>
    </row>
    <row r="871" spans="16:17" ht="13">
      <c r="P871" s="320"/>
      <c r="Q871" s="320"/>
    </row>
    <row r="872" spans="16:17" ht="13">
      <c r="P872" s="320"/>
      <c r="Q872" s="320"/>
    </row>
    <row r="873" spans="16:17" ht="13">
      <c r="P873" s="320"/>
      <c r="Q873" s="320"/>
    </row>
    <row r="874" spans="16:17" ht="13">
      <c r="P874" s="320"/>
      <c r="Q874" s="320"/>
    </row>
    <row r="875" spans="16:17" ht="13">
      <c r="P875" s="320"/>
      <c r="Q875" s="320"/>
    </row>
    <row r="876" spans="16:17" ht="13">
      <c r="P876" s="320"/>
      <c r="Q876" s="320"/>
    </row>
    <row r="877" spans="16:17" ht="13">
      <c r="P877" s="320"/>
      <c r="Q877" s="320"/>
    </row>
    <row r="878" spans="16:17" ht="13">
      <c r="P878" s="320"/>
      <c r="Q878" s="320"/>
    </row>
    <row r="879" spans="16:17" ht="13">
      <c r="P879" s="320"/>
      <c r="Q879" s="320"/>
    </row>
    <row r="880" spans="16:17" ht="13">
      <c r="P880" s="320"/>
      <c r="Q880" s="320"/>
    </row>
    <row r="881" spans="16:17" ht="13">
      <c r="P881" s="320"/>
      <c r="Q881" s="320"/>
    </row>
    <row r="882" spans="16:17" ht="13">
      <c r="P882" s="320"/>
      <c r="Q882" s="320"/>
    </row>
    <row r="883" spans="16:17" ht="13">
      <c r="P883" s="320"/>
      <c r="Q883" s="320"/>
    </row>
    <row r="884" spans="16:17" ht="13">
      <c r="P884" s="320"/>
      <c r="Q884" s="320"/>
    </row>
    <row r="885" spans="16:17" ht="13">
      <c r="P885" s="320"/>
      <c r="Q885" s="320"/>
    </row>
    <row r="886" spans="16:17" ht="13">
      <c r="P886" s="320"/>
      <c r="Q886" s="320"/>
    </row>
    <row r="887" spans="16:17" ht="13">
      <c r="P887" s="320"/>
      <c r="Q887" s="320"/>
    </row>
    <row r="888" spans="16:17" ht="13">
      <c r="P888" s="320"/>
      <c r="Q888" s="320"/>
    </row>
    <row r="889" spans="16:17" ht="13">
      <c r="P889" s="320"/>
      <c r="Q889" s="320"/>
    </row>
    <row r="890" spans="16:17" ht="13">
      <c r="P890" s="320"/>
      <c r="Q890" s="320"/>
    </row>
    <row r="891" spans="16:17" ht="13">
      <c r="P891" s="320"/>
      <c r="Q891" s="320"/>
    </row>
    <row r="892" spans="16:17" ht="13">
      <c r="P892" s="320"/>
      <c r="Q892" s="320"/>
    </row>
    <row r="893" spans="16:17" ht="13">
      <c r="P893" s="320"/>
      <c r="Q893" s="320"/>
    </row>
    <row r="894" spans="16:17" ht="13">
      <c r="P894" s="320"/>
      <c r="Q894" s="320"/>
    </row>
    <row r="895" spans="16:17" ht="13">
      <c r="P895" s="320"/>
      <c r="Q895" s="320"/>
    </row>
    <row r="896" spans="16:17" ht="13">
      <c r="P896" s="320"/>
      <c r="Q896" s="320"/>
    </row>
    <row r="897" spans="16:17" ht="13">
      <c r="P897" s="320"/>
      <c r="Q897" s="320"/>
    </row>
    <row r="898" spans="16:17" ht="13">
      <c r="P898" s="320"/>
      <c r="Q898" s="320"/>
    </row>
    <row r="899" spans="16:17" ht="13">
      <c r="P899" s="320"/>
      <c r="Q899" s="320"/>
    </row>
    <row r="900" spans="16:17" ht="13">
      <c r="P900" s="320"/>
      <c r="Q900" s="320"/>
    </row>
    <row r="901" spans="16:17" ht="13">
      <c r="P901" s="320"/>
      <c r="Q901" s="320"/>
    </row>
    <row r="902" spans="16:17" ht="13">
      <c r="P902" s="320"/>
      <c r="Q902" s="320"/>
    </row>
    <row r="903" spans="16:17" ht="13">
      <c r="P903" s="320"/>
      <c r="Q903" s="320"/>
    </row>
    <row r="904" spans="16:17" ht="13">
      <c r="P904" s="320"/>
      <c r="Q904" s="320"/>
    </row>
    <row r="905" spans="16:17" ht="13">
      <c r="P905" s="320"/>
      <c r="Q905" s="320"/>
    </row>
    <row r="906" spans="16:17" ht="13">
      <c r="P906" s="320"/>
      <c r="Q906" s="320"/>
    </row>
    <row r="907" spans="16:17" ht="13">
      <c r="P907" s="320"/>
      <c r="Q907" s="320"/>
    </row>
    <row r="908" spans="16:17" ht="13">
      <c r="P908" s="320"/>
      <c r="Q908" s="320"/>
    </row>
    <row r="909" spans="16:17" ht="13">
      <c r="P909" s="320"/>
      <c r="Q909" s="320"/>
    </row>
    <row r="910" spans="16:17" ht="13">
      <c r="P910" s="320"/>
      <c r="Q910" s="320"/>
    </row>
    <row r="911" spans="16:17" ht="13">
      <c r="P911" s="320"/>
      <c r="Q911" s="320"/>
    </row>
    <row r="912" spans="16:17" ht="13">
      <c r="P912" s="320"/>
      <c r="Q912" s="320"/>
    </row>
    <row r="913" spans="16:17" ht="13">
      <c r="P913" s="320"/>
      <c r="Q913" s="320"/>
    </row>
    <row r="914" spans="16:17" ht="13">
      <c r="P914" s="320"/>
      <c r="Q914" s="320"/>
    </row>
    <row r="915" spans="16:17" ht="13">
      <c r="P915" s="320"/>
      <c r="Q915" s="320"/>
    </row>
    <row r="916" spans="16:17" ht="13">
      <c r="P916" s="320"/>
      <c r="Q916" s="320"/>
    </row>
    <row r="917" spans="16:17" ht="13">
      <c r="P917" s="320"/>
      <c r="Q917" s="320"/>
    </row>
    <row r="918" spans="16:17" ht="13">
      <c r="P918" s="320"/>
      <c r="Q918" s="320"/>
    </row>
    <row r="919" spans="16:17" ht="13">
      <c r="P919" s="320"/>
      <c r="Q919" s="320"/>
    </row>
    <row r="920" spans="16:17" ht="13">
      <c r="P920" s="320"/>
      <c r="Q920" s="320"/>
    </row>
    <row r="921" spans="16:17" ht="13">
      <c r="P921" s="320"/>
      <c r="Q921" s="320"/>
    </row>
    <row r="922" spans="16:17" ht="13">
      <c r="P922" s="320"/>
      <c r="Q922" s="320"/>
    </row>
    <row r="923" spans="16:17" ht="13">
      <c r="P923" s="320"/>
      <c r="Q923" s="320"/>
    </row>
    <row r="924" spans="16:17" ht="13">
      <c r="P924" s="320"/>
      <c r="Q924" s="320"/>
    </row>
    <row r="925" spans="16:17" ht="13">
      <c r="P925" s="320"/>
      <c r="Q925" s="320"/>
    </row>
    <row r="926" spans="16:17" ht="13">
      <c r="P926" s="320"/>
      <c r="Q926" s="320"/>
    </row>
    <row r="927" spans="16:17" ht="13">
      <c r="P927" s="320"/>
      <c r="Q927" s="320"/>
    </row>
    <row r="928" spans="16:17" ht="13">
      <c r="P928" s="320"/>
      <c r="Q928" s="320"/>
    </row>
    <row r="929" spans="16:17" ht="13">
      <c r="P929" s="320"/>
      <c r="Q929" s="320"/>
    </row>
    <row r="930" spans="16:17" ht="13">
      <c r="P930" s="320"/>
      <c r="Q930" s="320"/>
    </row>
    <row r="931" spans="16:17" ht="13">
      <c r="P931" s="320"/>
      <c r="Q931" s="320"/>
    </row>
    <row r="932" spans="16:17" ht="13">
      <c r="P932" s="320"/>
      <c r="Q932" s="320"/>
    </row>
    <row r="933" spans="16:17" ht="13">
      <c r="P933" s="320"/>
      <c r="Q933" s="320"/>
    </row>
    <row r="934" spans="16:17" ht="13">
      <c r="P934" s="320"/>
      <c r="Q934" s="320"/>
    </row>
    <row r="935" spans="16:17" ht="13">
      <c r="P935" s="320"/>
      <c r="Q935" s="320"/>
    </row>
    <row r="936" spans="16:17" ht="13">
      <c r="P936" s="320"/>
      <c r="Q936" s="320"/>
    </row>
    <row r="937" spans="16:17" ht="13">
      <c r="P937" s="320"/>
      <c r="Q937" s="320"/>
    </row>
    <row r="938" spans="16:17" ht="13">
      <c r="P938" s="320"/>
      <c r="Q938" s="320"/>
    </row>
    <row r="939" spans="16:17" ht="13">
      <c r="P939" s="320"/>
      <c r="Q939" s="320"/>
    </row>
    <row r="940" spans="16:17" ht="13">
      <c r="P940" s="320"/>
      <c r="Q940" s="320"/>
    </row>
    <row r="941" spans="16:17" ht="13">
      <c r="P941" s="320"/>
      <c r="Q941" s="320"/>
    </row>
    <row r="942" spans="16:17" ht="13">
      <c r="P942" s="320"/>
      <c r="Q942" s="320"/>
    </row>
    <row r="943" spans="16:17" ht="13">
      <c r="P943" s="320"/>
      <c r="Q943" s="320"/>
    </row>
    <row r="944" spans="16:17" ht="13">
      <c r="P944" s="320"/>
      <c r="Q944" s="320"/>
    </row>
    <row r="945" spans="16:17" ht="13">
      <c r="P945" s="320"/>
      <c r="Q945" s="320"/>
    </row>
    <row r="946" spans="16:17" ht="13">
      <c r="P946" s="320"/>
      <c r="Q946" s="320"/>
    </row>
    <row r="947" spans="16:17" ht="13">
      <c r="P947" s="320"/>
      <c r="Q947" s="320"/>
    </row>
    <row r="948" spans="16:17" ht="13">
      <c r="P948" s="320"/>
      <c r="Q948" s="320"/>
    </row>
    <row r="949" spans="16:17" ht="13">
      <c r="P949" s="320"/>
      <c r="Q949" s="320"/>
    </row>
    <row r="950" spans="16:17" ht="13">
      <c r="P950" s="320"/>
      <c r="Q950" s="320"/>
    </row>
    <row r="951" spans="16:17" ht="13">
      <c r="P951" s="320"/>
      <c r="Q951" s="320"/>
    </row>
    <row r="952" spans="16:17" ht="13">
      <c r="P952" s="320"/>
      <c r="Q952" s="320"/>
    </row>
    <row r="953" spans="16:17" ht="13">
      <c r="P953" s="320"/>
      <c r="Q953" s="320"/>
    </row>
    <row r="954" spans="16:17" ht="13">
      <c r="P954" s="320"/>
      <c r="Q954" s="320"/>
    </row>
    <row r="955" spans="16:17" ht="13">
      <c r="P955" s="320"/>
      <c r="Q955" s="320"/>
    </row>
    <row r="956" spans="16:17" ht="13">
      <c r="P956" s="320"/>
      <c r="Q956" s="320"/>
    </row>
    <row r="957" spans="16:17" ht="13">
      <c r="P957" s="320"/>
      <c r="Q957" s="320"/>
    </row>
    <row r="958" spans="16:17" ht="13">
      <c r="P958" s="320"/>
      <c r="Q958" s="320"/>
    </row>
    <row r="959" spans="16:17" ht="13">
      <c r="P959" s="320"/>
      <c r="Q959" s="320"/>
    </row>
    <row r="960" spans="16:17" ht="13">
      <c r="P960" s="320"/>
      <c r="Q960" s="320"/>
    </row>
    <row r="961" spans="16:17" ht="13">
      <c r="P961" s="320"/>
      <c r="Q961" s="320"/>
    </row>
    <row r="962" spans="16:17" ht="13">
      <c r="P962" s="320"/>
      <c r="Q962" s="320"/>
    </row>
    <row r="963" spans="16:17" ht="13">
      <c r="P963" s="320"/>
      <c r="Q963" s="320"/>
    </row>
    <row r="964" spans="16:17" ht="13">
      <c r="P964" s="320"/>
      <c r="Q964" s="320"/>
    </row>
    <row r="965" spans="16:17" ht="13">
      <c r="P965" s="320"/>
      <c r="Q965" s="320"/>
    </row>
    <row r="966" spans="16:17" ht="13">
      <c r="P966" s="320"/>
      <c r="Q966" s="320"/>
    </row>
    <row r="967" spans="16:17" ht="13">
      <c r="P967" s="320"/>
      <c r="Q967" s="320"/>
    </row>
    <row r="968" spans="16:17" ht="13">
      <c r="P968" s="320"/>
      <c r="Q968" s="320"/>
    </row>
    <row r="969" spans="16:17" ht="13">
      <c r="P969" s="320"/>
      <c r="Q969" s="320"/>
    </row>
    <row r="970" spans="16:17" ht="13">
      <c r="P970" s="320"/>
      <c r="Q970" s="320"/>
    </row>
    <row r="971" spans="16:17" ht="13">
      <c r="P971" s="320"/>
      <c r="Q971" s="320"/>
    </row>
    <row r="972" spans="16:17" ht="13">
      <c r="P972" s="320"/>
      <c r="Q972" s="320"/>
    </row>
    <row r="973" spans="16:17" ht="13">
      <c r="P973" s="320"/>
      <c r="Q973" s="320"/>
    </row>
    <row r="974" spans="16:17" ht="13">
      <c r="P974" s="320"/>
      <c r="Q974" s="320"/>
    </row>
    <row r="975" spans="16:17" ht="13">
      <c r="P975" s="320"/>
      <c r="Q975" s="320"/>
    </row>
    <row r="976" spans="16:17" ht="13">
      <c r="P976" s="320"/>
      <c r="Q976" s="320"/>
    </row>
    <row r="977" spans="16:17" ht="13">
      <c r="P977" s="320"/>
      <c r="Q977" s="320"/>
    </row>
    <row r="978" spans="16:17" ht="13">
      <c r="P978" s="320"/>
      <c r="Q978" s="320"/>
    </row>
    <row r="979" spans="16:17" ht="13">
      <c r="P979" s="320"/>
      <c r="Q979" s="320"/>
    </row>
    <row r="980" spans="16:17" ht="13">
      <c r="P980" s="320"/>
      <c r="Q980" s="320"/>
    </row>
    <row r="981" spans="16:17" ht="13">
      <c r="P981" s="320"/>
      <c r="Q981" s="320"/>
    </row>
    <row r="982" spans="16:17" ht="13">
      <c r="P982" s="320"/>
      <c r="Q982" s="320"/>
    </row>
    <row r="983" spans="16:17" ht="13">
      <c r="P983" s="320"/>
      <c r="Q983" s="320"/>
    </row>
    <row r="984" spans="16:17" ht="13">
      <c r="P984" s="320"/>
      <c r="Q984" s="320"/>
    </row>
    <row r="985" spans="16:17" ht="13">
      <c r="P985" s="320"/>
      <c r="Q985" s="320"/>
    </row>
    <row r="986" spans="16:17" ht="13">
      <c r="P986" s="320"/>
      <c r="Q986" s="320"/>
    </row>
    <row r="987" spans="16:17" ht="13">
      <c r="P987" s="320"/>
      <c r="Q987" s="320"/>
    </row>
    <row r="988" spans="16:17" ht="13">
      <c r="P988" s="320"/>
      <c r="Q988" s="320"/>
    </row>
    <row r="989" spans="16:17" ht="13">
      <c r="P989" s="320"/>
      <c r="Q989" s="320"/>
    </row>
    <row r="990" spans="16:17" ht="13">
      <c r="P990" s="320"/>
      <c r="Q990" s="320"/>
    </row>
    <row r="991" spans="16:17" ht="13">
      <c r="P991" s="320"/>
      <c r="Q991" s="320"/>
    </row>
    <row r="992" spans="16:17" ht="13">
      <c r="P992" s="320"/>
      <c r="Q992" s="320"/>
    </row>
    <row r="993" spans="16:17" ht="13">
      <c r="P993" s="320"/>
      <c r="Q993" s="320"/>
    </row>
    <row r="994" spans="16:17" ht="13">
      <c r="P994" s="320"/>
      <c r="Q994" s="320"/>
    </row>
    <row r="995" spans="16:17" ht="13">
      <c r="P995" s="320"/>
      <c r="Q995" s="320"/>
    </row>
    <row r="996" spans="16:17" ht="13">
      <c r="P996" s="320"/>
      <c r="Q996" s="320"/>
    </row>
    <row r="997" spans="16:17" ht="13">
      <c r="P997" s="320"/>
      <c r="Q997" s="320"/>
    </row>
    <row r="998" spans="16:17" ht="13">
      <c r="P998" s="320"/>
      <c r="Q998" s="320"/>
    </row>
    <row r="999" spans="16:17" ht="13">
      <c r="P999" s="320"/>
      <c r="Q999" s="320"/>
    </row>
    <row r="1000" spans="16:17" ht="13">
      <c r="P1000" s="320"/>
      <c r="Q1000" s="320"/>
    </row>
    <row r="1001" spans="16:17" ht="13">
      <c r="P1001" s="320"/>
      <c r="Q1001" s="320"/>
    </row>
    <row r="1002" spans="16:17" ht="13">
      <c r="P1002" s="320"/>
      <c r="Q1002" s="320"/>
    </row>
    <row r="1003" spans="16:17" ht="13">
      <c r="P1003" s="320"/>
      <c r="Q1003" s="320"/>
    </row>
    <row r="1004" spans="16:17" ht="13">
      <c r="P1004" s="320"/>
      <c r="Q1004" s="320"/>
    </row>
    <row r="1005" spans="16:17" ht="13">
      <c r="P1005" s="320"/>
      <c r="Q1005" s="320"/>
    </row>
    <row r="1006" spans="16:17" ht="13">
      <c r="P1006" s="320"/>
      <c r="Q1006" s="320"/>
    </row>
    <row r="1007" spans="16:17" ht="13">
      <c r="P1007" s="320"/>
      <c r="Q1007" s="320"/>
    </row>
    <row r="1008" spans="16:17" ht="13">
      <c r="P1008" s="320"/>
      <c r="Q1008" s="320"/>
    </row>
    <row r="1009" spans="16:17" ht="13">
      <c r="P1009" s="320"/>
      <c r="Q1009" s="320"/>
    </row>
    <row r="1010" spans="16:17" ht="13">
      <c r="P1010" s="320"/>
      <c r="Q1010" s="320"/>
    </row>
    <row r="1011" spans="16:17" ht="13">
      <c r="P1011" s="320"/>
      <c r="Q1011" s="320"/>
    </row>
    <row r="1012" spans="16:17" ht="13">
      <c r="P1012" s="320"/>
      <c r="Q1012" s="320"/>
    </row>
    <row r="1013" spans="16:17" ht="13">
      <c r="P1013" s="320"/>
      <c r="Q1013" s="320"/>
    </row>
    <row r="1014" spans="16:17" ht="13">
      <c r="P1014" s="320"/>
      <c r="Q1014" s="320"/>
    </row>
    <row r="1015" spans="16:17" ht="13">
      <c r="P1015" s="320"/>
      <c r="Q1015" s="320"/>
    </row>
    <row r="1016" spans="16:17" ht="13">
      <c r="P1016" s="320"/>
      <c r="Q1016" s="320"/>
    </row>
    <row r="1017" spans="16:17" ht="13">
      <c r="P1017" s="320"/>
      <c r="Q1017" s="320"/>
    </row>
    <row r="1018" spans="16:17" ht="13">
      <c r="P1018" s="320"/>
      <c r="Q1018" s="320"/>
    </row>
    <row r="1019" spans="16:17" ht="13">
      <c r="P1019" s="320"/>
      <c r="Q1019" s="320"/>
    </row>
    <row r="1020" spans="16:17" ht="13">
      <c r="P1020" s="320"/>
      <c r="Q1020" s="320"/>
    </row>
    <row r="1021" spans="16:17" ht="13">
      <c r="P1021" s="320"/>
      <c r="Q1021" s="320"/>
    </row>
    <row r="1022" spans="16:17" ht="13">
      <c r="P1022" s="320"/>
      <c r="Q1022" s="320"/>
    </row>
    <row r="1023" spans="16:17" ht="13">
      <c r="P1023" s="320"/>
      <c r="Q1023" s="320"/>
    </row>
    <row r="1024" spans="16:17" ht="13">
      <c r="P1024" s="320"/>
      <c r="Q1024" s="320"/>
    </row>
    <row r="1025" spans="16:17" ht="13">
      <c r="P1025" s="320"/>
      <c r="Q1025" s="320"/>
    </row>
    <row r="1026" spans="16:17" ht="13">
      <c r="P1026" s="320"/>
      <c r="Q1026" s="320"/>
    </row>
    <row r="1027" spans="16:17" ht="13">
      <c r="P1027" s="320"/>
      <c r="Q1027" s="320"/>
    </row>
    <row r="1028" spans="16:17" ht="13">
      <c r="P1028" s="320"/>
      <c r="Q1028" s="320"/>
    </row>
    <row r="1029" spans="16:17" ht="13">
      <c r="P1029" s="320"/>
      <c r="Q1029" s="320"/>
    </row>
    <row r="1030" spans="16:17" ht="13">
      <c r="P1030" s="320"/>
      <c r="Q1030" s="320"/>
    </row>
    <row r="1031" spans="16:17" ht="13">
      <c r="P1031" s="320"/>
      <c r="Q1031" s="320"/>
    </row>
    <row r="1032" spans="16:17" ht="13">
      <c r="P1032" s="320"/>
      <c r="Q1032" s="320"/>
    </row>
    <row r="1033" spans="16:17" ht="13">
      <c r="P1033" s="320"/>
      <c r="Q1033" s="320"/>
    </row>
    <row r="1034" spans="16:17" ht="13">
      <c r="P1034" s="320"/>
      <c r="Q1034" s="320"/>
    </row>
  </sheetData>
  <mergeCells count="5">
    <mergeCell ref="A48:R48"/>
    <mergeCell ref="A94:R94"/>
    <mergeCell ref="A145:R145"/>
    <mergeCell ref="A194:R194"/>
    <mergeCell ref="A4:R4"/>
  </mergeCells>
  <hyperlinks>
    <hyperlink ref="A1" location="Index!A1" display="Index" xr:uid="{00000000-0004-0000-16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outlinePr summaryBelow="0" summaryRight="0"/>
  </sheetPr>
  <dimension ref="A1:N30"/>
  <sheetViews>
    <sheetView topLeftCell="D7" zoomScale="142" workbookViewId="0">
      <selection activeCell="H18" sqref="H18:L22"/>
    </sheetView>
  </sheetViews>
  <sheetFormatPr baseColWidth="10" defaultColWidth="14.33203125" defaultRowHeight="15.75" customHeight="1"/>
  <cols>
    <col min="1" max="1" width="42.5" customWidth="1"/>
    <col min="2" max="6" width="17.6640625" customWidth="1"/>
    <col min="7" max="7" width="18" customWidth="1"/>
    <col min="9" max="9" width="23.1640625" bestFit="1" customWidth="1"/>
  </cols>
  <sheetData>
    <row r="1" spans="1:14" ht="26">
      <c r="A1" s="116" t="s">
        <v>0</v>
      </c>
      <c r="B1" s="3" t="s">
        <v>978</v>
      </c>
      <c r="C1" s="3"/>
      <c r="D1" s="3"/>
      <c r="E1" s="3"/>
      <c r="F1" s="3"/>
      <c r="G1" s="3"/>
      <c r="H1" s="3"/>
      <c r="I1" s="3"/>
    </row>
    <row r="2" spans="1:14" ht="15.75" customHeight="1" thickBot="1">
      <c r="H2" s="3"/>
      <c r="I2" s="3"/>
    </row>
    <row r="3" spans="1:14" ht="23" customHeight="1" thickTop="1" thickBot="1">
      <c r="A3" s="381" t="s">
        <v>222</v>
      </c>
      <c r="B3" s="554" t="s">
        <v>85</v>
      </c>
      <c r="C3" s="554" t="s">
        <v>86</v>
      </c>
      <c r="D3" s="554" t="s">
        <v>87</v>
      </c>
      <c r="E3" s="554" t="s">
        <v>88</v>
      </c>
      <c r="F3" s="562" t="s">
        <v>89</v>
      </c>
      <c r="H3" s="2118" t="s">
        <v>222</v>
      </c>
      <c r="I3" s="2119"/>
      <c r="J3" s="2119"/>
      <c r="K3" s="2119"/>
      <c r="L3" s="2119"/>
      <c r="M3" s="2119"/>
      <c r="N3" s="2120"/>
    </row>
    <row r="4" spans="1:14" ht="18" thickTop="1" thickBot="1">
      <c r="A4" s="254" t="s">
        <v>977</v>
      </c>
      <c r="B4" s="674"/>
      <c r="C4" s="674"/>
      <c r="D4" s="674"/>
      <c r="E4" s="674"/>
      <c r="F4" s="618"/>
      <c r="H4" s="1909"/>
      <c r="I4" s="1909"/>
      <c r="J4" s="2121" t="s">
        <v>85</v>
      </c>
      <c r="K4" s="2122" t="s">
        <v>86</v>
      </c>
      <c r="L4" s="2122" t="s">
        <v>87</v>
      </c>
      <c r="M4" s="2122" t="s">
        <v>88</v>
      </c>
      <c r="N4" s="2123" t="s">
        <v>89</v>
      </c>
    </row>
    <row r="5" spans="1:14" ht="19" customHeight="1">
      <c r="A5" s="254" t="s">
        <v>223</v>
      </c>
      <c r="B5" s="674"/>
      <c r="C5" s="674"/>
      <c r="D5" s="674"/>
      <c r="E5" s="674"/>
      <c r="F5" s="618"/>
      <c r="H5" s="2135" t="s">
        <v>1210</v>
      </c>
      <c r="I5" s="2124" t="s">
        <v>1211</v>
      </c>
      <c r="J5" s="2111"/>
      <c r="K5" s="2105"/>
      <c r="L5" s="2106">
        <v>2.63E-2</v>
      </c>
      <c r="M5" s="2106">
        <v>2.63E-2</v>
      </c>
      <c r="N5" s="2107">
        <v>3.0099999999999998E-2</v>
      </c>
    </row>
    <row r="6" spans="1:14" ht="19" customHeight="1">
      <c r="A6" s="256" t="s">
        <v>224</v>
      </c>
      <c r="B6" s="239"/>
      <c r="C6" s="239"/>
      <c r="D6" s="239"/>
      <c r="E6" s="239"/>
      <c r="F6" s="714"/>
      <c r="H6" s="2136"/>
      <c r="I6" s="2125" t="s">
        <v>226</v>
      </c>
      <c r="J6" s="2112">
        <v>2.58E-2</v>
      </c>
      <c r="K6" s="2104">
        <v>2.58E-2</v>
      </c>
      <c r="L6" s="2104">
        <v>4.2999999999999997E-2</v>
      </c>
      <c r="M6" s="2104">
        <v>4.2999999999999997E-2</v>
      </c>
      <c r="N6" s="2108">
        <v>4.2999999999999997E-2</v>
      </c>
    </row>
    <row r="7" spans="1:14" ht="19" customHeight="1">
      <c r="A7" s="257" t="s">
        <v>225</v>
      </c>
      <c r="B7" s="239"/>
      <c r="C7" s="239"/>
      <c r="D7" s="239">
        <f>'MK IMC Schedule Y1-Y5'!R98</f>
        <v>2.6280889809574316E-2</v>
      </c>
      <c r="E7" s="239">
        <f>'MK IMC Schedule Y1-Y5'!R149</f>
        <v>2.6280889809574316E-2</v>
      </c>
      <c r="F7" s="714">
        <f>'MK IMC Schedule Y1-Y5'!R198</f>
        <v>3.0072161033354711E-2</v>
      </c>
      <c r="H7" s="2136"/>
      <c r="I7" s="2125" t="s">
        <v>756</v>
      </c>
      <c r="J7" s="2112">
        <v>0.02</v>
      </c>
      <c r="K7" s="2104">
        <v>0.03</v>
      </c>
      <c r="L7" s="2104">
        <v>0.06</v>
      </c>
      <c r="M7" s="2104">
        <v>7.0000000000000007E-2</v>
      </c>
      <c r="N7" s="2108">
        <v>0.08</v>
      </c>
    </row>
    <row r="8" spans="1:14" ht="19" customHeight="1" thickBot="1">
      <c r="A8" s="259" t="s">
        <v>226</v>
      </c>
      <c r="B8" s="239">
        <f>'MK IMC Schedule Y1-Y5'!R9</f>
        <v>2.5775999999999997E-2</v>
      </c>
      <c r="C8" s="239">
        <f>'MK IMC Schedule Y1-Y5'!R53</f>
        <v>2.5775999999999997E-2</v>
      </c>
      <c r="D8" s="239">
        <f>'MK IMC Schedule Y1-Y5'!R103</f>
        <v>4.3045919999999994E-2</v>
      </c>
      <c r="E8" s="239">
        <f>'MK IMC Schedule Y1-Y5'!R154</f>
        <v>4.3045919999999994E-2</v>
      </c>
      <c r="F8" s="714">
        <f>'MK IMC Schedule Y1-Y5'!R203</f>
        <v>4.3045919999999994E-2</v>
      </c>
      <c r="H8" s="2137"/>
      <c r="I8" s="2126" t="s">
        <v>1212</v>
      </c>
      <c r="J8" s="2113"/>
      <c r="K8" s="2109"/>
      <c r="L8" s="2109">
        <v>0.01</v>
      </c>
      <c r="M8" s="2109">
        <v>0.01</v>
      </c>
      <c r="N8" s="2110">
        <v>0.01</v>
      </c>
    </row>
    <row r="9" spans="1:14" ht="16">
      <c r="A9" s="259" t="s">
        <v>227</v>
      </c>
      <c r="B9" s="239">
        <f>'MK IMC Schedule Y1-Y5'!R18</f>
        <v>0.02</v>
      </c>
      <c r="C9" s="239">
        <f>'MK IMC Schedule Y1-Y5'!R62</f>
        <v>0.03</v>
      </c>
      <c r="D9" s="239">
        <f>'MK IMC Schedule Y1-Y5'!R112</f>
        <v>0.06</v>
      </c>
      <c r="E9" s="239">
        <f>'MK IMC Schedule Y1-Y5'!R163</f>
        <v>7.0000000000000007E-2</v>
      </c>
      <c r="F9" s="714">
        <f>'MK IMC Schedule Y1-Y5'!R212</f>
        <v>0.08</v>
      </c>
      <c r="H9" s="2135" t="s">
        <v>1213</v>
      </c>
      <c r="I9" s="2127" t="s">
        <v>1214</v>
      </c>
      <c r="J9" s="2117">
        <v>0.02</v>
      </c>
      <c r="K9" s="2106">
        <v>0.02</v>
      </c>
      <c r="L9" s="2106">
        <v>0.02</v>
      </c>
      <c r="M9" s="2106">
        <v>0.02</v>
      </c>
      <c r="N9" s="2107">
        <v>0.02</v>
      </c>
    </row>
    <row r="10" spans="1:14" ht="34">
      <c r="A10" s="260" t="s">
        <v>228</v>
      </c>
      <c r="B10" s="239"/>
      <c r="C10" s="239"/>
      <c r="D10" s="239">
        <f>'MK IMC Schedule Y1-Y5'!R113</f>
        <v>0.01</v>
      </c>
      <c r="E10" s="239">
        <f>'MK IMC Schedule Y1-Y5'!R164</f>
        <v>0.01</v>
      </c>
      <c r="F10" s="714">
        <f>'MK IMC Schedule Y1-Y5'!R213</f>
        <v>0.01</v>
      </c>
      <c r="H10" s="2136"/>
      <c r="I10" s="2125" t="s">
        <v>1215</v>
      </c>
      <c r="J10" s="2112"/>
      <c r="K10" s="2104">
        <v>1.9E-3</v>
      </c>
      <c r="L10" s="2104">
        <v>2.2000000000000001E-3</v>
      </c>
      <c r="M10" s="2104">
        <v>7.0000000000000001E-3</v>
      </c>
      <c r="N10" s="2108">
        <v>8.8999999999999999E-3</v>
      </c>
    </row>
    <row r="11" spans="1:14" ht="19" customHeight="1" thickBot="1">
      <c r="A11" s="256" t="s">
        <v>229</v>
      </c>
      <c r="B11" s="239"/>
      <c r="C11" s="239"/>
      <c r="D11" s="239"/>
      <c r="E11" s="239"/>
      <c r="F11" s="714"/>
      <c r="H11" s="2137"/>
      <c r="I11" s="2126" t="s">
        <v>232</v>
      </c>
      <c r="J11" s="2113"/>
      <c r="K11" s="2109">
        <v>5.0000000000000001E-3</v>
      </c>
      <c r="L11" s="2109">
        <v>0.02</v>
      </c>
      <c r="M11" s="2109">
        <v>0.02</v>
      </c>
      <c r="N11" s="2110">
        <v>0.02</v>
      </c>
    </row>
    <row r="12" spans="1:14" ht="19" customHeight="1" thickBot="1">
      <c r="A12" s="260" t="s">
        <v>230</v>
      </c>
      <c r="B12" s="239">
        <f>'MK IMC Schedule Y1-Y5'!R21</f>
        <v>0.02</v>
      </c>
      <c r="C12" s="239">
        <f>'MK IMC Schedule Y1-Y5'!R65</f>
        <v>0.02</v>
      </c>
      <c r="D12" s="239">
        <f>'MK IMC Schedule Y1-Y5'!R116</f>
        <v>0.02</v>
      </c>
      <c r="E12" s="239">
        <f>'MK IMC Schedule Y1-Y5'!R167</f>
        <v>0.02</v>
      </c>
      <c r="F12" s="714">
        <f>'MK IMC Schedule Y1-Y5'!R216</f>
        <v>0.02</v>
      </c>
      <c r="H12" s="2138" t="s">
        <v>1216</v>
      </c>
      <c r="I12" s="2128" t="s">
        <v>234</v>
      </c>
      <c r="J12" s="2114">
        <v>0.01</v>
      </c>
      <c r="K12" s="2115">
        <v>0.01</v>
      </c>
      <c r="L12" s="2115">
        <v>0.03</v>
      </c>
      <c r="M12" s="2115">
        <v>0.03</v>
      </c>
      <c r="N12" s="2116">
        <v>0.03</v>
      </c>
    </row>
    <row r="13" spans="1:14" ht="19" customHeight="1" thickBot="1">
      <c r="A13" s="259" t="s">
        <v>231</v>
      </c>
      <c r="B13" s="239"/>
      <c r="C13" s="239">
        <f>'MK IMC Schedule Y1-Y5'!R68</f>
        <v>1.9E-3</v>
      </c>
      <c r="D13" s="239">
        <f>'MK IMC Schedule Y1-Y5'!R119</f>
        <v>2.2000000000000001E-3</v>
      </c>
      <c r="E13" s="239">
        <f>'MK IMC Schedule Y1-Y5'!R170</f>
        <v>7.0000000000000001E-3</v>
      </c>
      <c r="F13" s="714">
        <f>'MK IMC Schedule Y1-Y5'!R219</f>
        <v>8.8999999999999999E-3</v>
      </c>
      <c r="H13" s="2139" t="s">
        <v>1217</v>
      </c>
      <c r="I13" s="2145"/>
      <c r="J13" s="2142">
        <f>SUM(J6:J12)</f>
        <v>7.5799999999999992E-2</v>
      </c>
      <c r="K13" s="2133">
        <f t="shared" ref="K13:N13" si="0">SUM(K6:K12)</f>
        <v>9.2700000000000005E-2</v>
      </c>
      <c r="L13" s="2133">
        <f t="shared" si="0"/>
        <v>0.18519999999999998</v>
      </c>
      <c r="M13" s="2133">
        <f t="shared" si="0"/>
        <v>0.19999999999999998</v>
      </c>
      <c r="N13" s="2134">
        <f t="shared" si="0"/>
        <v>0.21189999999999998</v>
      </c>
    </row>
    <row r="14" spans="1:14" ht="19" customHeight="1">
      <c r="A14" s="259" t="s">
        <v>232</v>
      </c>
      <c r="B14" s="239"/>
      <c r="C14" s="239">
        <f>'MK IMC Schedule Y1-Y5'!R69</f>
        <v>5.0000000000000001E-3</v>
      </c>
      <c r="D14" s="239">
        <f>'MK IMC Schedule Y1-Y5'!R120</f>
        <v>0.02</v>
      </c>
      <c r="E14" s="239">
        <f>'MK IMC Schedule Y1-Y5'!R171</f>
        <v>0.02</v>
      </c>
      <c r="F14" s="714">
        <f>'MK IMC Schedule Y1-Y5'!R220</f>
        <v>0.02</v>
      </c>
      <c r="H14" s="2140" t="s">
        <v>1218</v>
      </c>
      <c r="I14" s="2146"/>
      <c r="J14" s="2143">
        <f>B19</f>
        <v>172759.86293766144</v>
      </c>
      <c r="K14" s="2131">
        <f>C19</f>
        <v>169761.75982801139</v>
      </c>
      <c r="L14" s="2131">
        <f>D19</f>
        <v>330746.15157086716</v>
      </c>
      <c r="M14" s="2131">
        <f>E19</f>
        <v>333686.99623847636</v>
      </c>
      <c r="N14" s="2132">
        <f>F19</f>
        <v>348794.07645208726</v>
      </c>
    </row>
    <row r="15" spans="1:14" ht="19" customHeight="1" thickBot="1">
      <c r="A15" s="256" t="s">
        <v>233</v>
      </c>
      <c r="B15" s="239"/>
      <c r="C15" s="239"/>
      <c r="D15" s="239"/>
      <c r="E15" s="239"/>
      <c r="F15" s="714"/>
      <c r="H15" s="2141" t="s">
        <v>1219</v>
      </c>
      <c r="I15" s="2147"/>
      <c r="J15" s="2144">
        <f>B20</f>
        <v>8.0001574793061886E-2</v>
      </c>
      <c r="K15" s="2129">
        <f>C20</f>
        <v>5.4340586757461402E-2</v>
      </c>
      <c r="L15" s="2129">
        <f>D20</f>
        <v>4.4644498161059691E-2</v>
      </c>
      <c r="M15" s="2129">
        <f>E20</f>
        <v>3.7660680737251852E-2</v>
      </c>
      <c r="N15" s="2130">
        <f>F20</f>
        <v>3.1699745974866619E-2</v>
      </c>
    </row>
    <row r="16" spans="1:14" ht="19" customHeight="1">
      <c r="A16" s="259" t="s">
        <v>234</v>
      </c>
      <c r="B16" s="239">
        <f>'MK IMC Schedule Y1-Y5'!R25</f>
        <v>0.01</v>
      </c>
      <c r="C16" s="239">
        <f>'MK IMC Schedule Y1-Y5'!R71</f>
        <v>0.01</v>
      </c>
      <c r="D16" s="239">
        <f>'MK IMC Schedule Y1-Y5'!R122</f>
        <v>0.03</v>
      </c>
      <c r="E16" s="239">
        <f>'MK IMC Schedule Y1-Y5'!R173</f>
        <v>0.03</v>
      </c>
      <c r="F16" s="714">
        <f>'MK IMC Schedule Y1-Y5'!R222</f>
        <v>0.03</v>
      </c>
      <c r="I16" s="3"/>
    </row>
    <row r="17" spans="1:9" ht="19" customHeight="1" thickBot="1">
      <c r="A17" s="259" t="s">
        <v>235</v>
      </c>
      <c r="B17" s="925">
        <f>'MK IMC Schedule Y1-Y5'!R26</f>
        <v>0</v>
      </c>
      <c r="C17" s="925">
        <f>'MK IMC Schedule Y1-Y5'!R72</f>
        <v>0</v>
      </c>
      <c r="D17" s="925">
        <f>'MK IMC Schedule Y1-Y5'!R123</f>
        <v>0</v>
      </c>
      <c r="E17" s="925">
        <f>'MK IMC Schedule Y1-Y5'!R174</f>
        <v>0</v>
      </c>
      <c r="F17" s="714">
        <f>'MK IMC Schedule Y1-Y5'!R223</f>
        <v>0</v>
      </c>
      <c r="H17" s="3"/>
      <c r="I17" s="3"/>
    </row>
    <row r="18" spans="1:9" ht="19" customHeight="1" thickBot="1">
      <c r="A18" s="926" t="s">
        <v>236</v>
      </c>
      <c r="B18" s="927">
        <f t="shared" ref="B18:F18" si="1">SUM(B7:B17)</f>
        <v>7.5775999999999996E-2</v>
      </c>
      <c r="C18" s="927">
        <f t="shared" si="1"/>
        <v>9.2675999999999994E-2</v>
      </c>
      <c r="D18" s="927">
        <f t="shared" si="1"/>
        <v>0.21152680980957431</v>
      </c>
      <c r="E18" s="927">
        <f t="shared" si="1"/>
        <v>0.22632680980957431</v>
      </c>
      <c r="F18" s="928">
        <f t="shared" si="1"/>
        <v>0.2420180810333547</v>
      </c>
    </row>
    <row r="19" spans="1:9" ht="19" customHeight="1">
      <c r="A19" s="923" t="s">
        <v>916</v>
      </c>
      <c r="B19" s="1821">
        <f>'MK IMC Schedule Y1-Y5'!N43</f>
        <v>172759.86293766144</v>
      </c>
      <c r="C19" s="1821">
        <f>'MK IMC Schedule Y1-Y5'!N89</f>
        <v>169761.75982801139</v>
      </c>
      <c r="D19" s="1821">
        <f>'MK IMC Schedule Y1-Y5'!N140</f>
        <v>330746.15157086716</v>
      </c>
      <c r="E19" s="1821">
        <f>'MK IMC Schedule Y1-Y5'!N189</f>
        <v>333686.99623847636</v>
      </c>
      <c r="F19" s="1822">
        <f>'MK IMC Schedule Y1-Y5'!N237</f>
        <v>348794.07645208726</v>
      </c>
      <c r="G19" s="3"/>
    </row>
    <row r="20" spans="1:9" ht="19" customHeight="1" thickBot="1">
      <c r="A20" s="924" t="s">
        <v>917</v>
      </c>
      <c r="B20" s="929">
        <f>'MK IMC Schedule Y1-Y5'!N44</f>
        <v>8.0001574793061886E-2</v>
      </c>
      <c r="C20" s="929">
        <f>'MK IMC Schedule Y1-Y5'!N90</f>
        <v>5.4340586757461402E-2</v>
      </c>
      <c r="D20" s="929">
        <f>'MK IMC Schedule Y1-Y5'!N141</f>
        <v>4.4644498161059691E-2</v>
      </c>
      <c r="E20" s="929">
        <f>'MK IMC Schedule Y1-Y5'!N190</f>
        <v>3.7660680737251852E-2</v>
      </c>
      <c r="F20" s="930">
        <f>'MK IMC Schedule Y1-Y5'!N238</f>
        <v>3.1699745974866619E-2</v>
      </c>
      <c r="G20" s="3"/>
    </row>
    <row r="21" spans="1:9" ht="14">
      <c r="B21" s="121"/>
    </row>
    <row r="22" spans="1:9" ht="14">
      <c r="B22" s="121"/>
    </row>
    <row r="23" spans="1:9" ht="13"/>
    <row r="24" spans="1:9" ht="13"/>
    <row r="25" spans="1:9" ht="14">
      <c r="B25" s="263"/>
    </row>
    <row r="26" spans="1:9" ht="14">
      <c r="B26" s="121"/>
    </row>
    <row r="27" spans="1:9" ht="14">
      <c r="B27" s="121"/>
    </row>
    <row r="28" spans="1:9" ht="14">
      <c r="B28" s="264"/>
    </row>
    <row r="29" spans="1:9" ht="14">
      <c r="B29" s="265"/>
    </row>
    <row r="30" spans="1:9" ht="14">
      <c r="B30" s="266"/>
    </row>
  </sheetData>
  <mergeCells count="6">
    <mergeCell ref="H3:N3"/>
    <mergeCell ref="H13:I13"/>
    <mergeCell ref="H14:I14"/>
    <mergeCell ref="H15:I15"/>
    <mergeCell ref="H5:H8"/>
    <mergeCell ref="H9:H11"/>
  </mergeCells>
  <hyperlinks>
    <hyperlink ref="A1" location="Index!A1" display="Index" xr:uid="{00000000-0004-0000-15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outlinePr summaryBelow="0" summaryRight="0"/>
  </sheetPr>
  <dimension ref="A1:AB1075"/>
  <sheetViews>
    <sheetView topLeftCell="A68" workbookViewId="0">
      <selection activeCell="B83" sqref="B83"/>
    </sheetView>
  </sheetViews>
  <sheetFormatPr baseColWidth="10" defaultColWidth="14.33203125" defaultRowHeight="15.75" customHeight="1"/>
  <cols>
    <col min="1" max="1" width="61.83203125" customWidth="1"/>
    <col min="2" max="2" width="53.33203125" customWidth="1"/>
    <col min="3" max="3" width="26.33203125" customWidth="1"/>
    <col min="4" max="4" width="20.1640625" customWidth="1"/>
    <col min="5" max="5" width="22.5" customWidth="1"/>
    <col min="6" max="6" width="22.1640625" customWidth="1"/>
    <col min="7" max="7" width="47.1640625" customWidth="1"/>
    <col min="8" max="8" width="70.33203125" customWidth="1"/>
    <col min="9" max="9" width="13.33203125" customWidth="1"/>
    <col min="10" max="10" width="16.6640625" customWidth="1"/>
    <col min="11" max="11" width="49.5" customWidth="1"/>
    <col min="12" max="12" width="16.33203125" customWidth="1"/>
    <col min="16" max="16" width="22" customWidth="1"/>
    <col min="17" max="17" width="15.6640625" customWidth="1"/>
  </cols>
  <sheetData>
    <row r="1" spans="1:28" ht="26">
      <c r="A1" s="902" t="s">
        <v>0</v>
      </c>
      <c r="B1" s="5"/>
      <c r="C1" s="5"/>
      <c r="D1" s="5"/>
    </row>
    <row r="2" spans="1:28" ht="21" customHeight="1">
      <c r="B2" s="5"/>
      <c r="C2" s="5"/>
      <c r="D2" s="5"/>
    </row>
    <row r="3" spans="1:28" ht="16">
      <c r="A3" s="553" t="s">
        <v>443</v>
      </c>
      <c r="B3" s="554"/>
      <c r="C3" s="555"/>
      <c r="D3" s="6"/>
      <c r="E3" s="3"/>
      <c r="F3" s="3"/>
      <c r="G3" s="3"/>
      <c r="H3" s="3"/>
      <c r="I3" s="3"/>
      <c r="J3" s="3"/>
      <c r="K3" s="3"/>
      <c r="L3" s="3"/>
      <c r="M3" s="3"/>
      <c r="N3" s="3"/>
      <c r="O3" s="3"/>
      <c r="P3" s="3"/>
      <c r="Q3" s="3"/>
      <c r="R3" s="3"/>
      <c r="S3" s="3"/>
      <c r="T3" s="3"/>
      <c r="U3" s="3"/>
      <c r="V3" s="3"/>
      <c r="W3" s="3"/>
      <c r="X3" s="3"/>
      <c r="Y3" s="3"/>
      <c r="Z3" s="3"/>
      <c r="AA3" s="3"/>
      <c r="AB3" s="3"/>
    </row>
    <row r="4" spans="1:28" ht="16">
      <c r="A4" s="556" t="s">
        <v>444</v>
      </c>
      <c r="B4" s="1879">
        <v>30</v>
      </c>
      <c r="C4" s="557" t="s">
        <v>445</v>
      </c>
      <c r="D4" s="6"/>
      <c r="E4" s="3"/>
      <c r="F4" s="3"/>
      <c r="G4" s="2009"/>
      <c r="H4" s="2010"/>
      <c r="I4" s="2010"/>
      <c r="J4" s="2010"/>
      <c r="K4" s="2010"/>
      <c r="L4" s="2010"/>
      <c r="M4" s="3"/>
      <c r="N4" s="3"/>
      <c r="O4" s="3"/>
      <c r="P4" s="3"/>
      <c r="Q4" s="3"/>
      <c r="R4" s="3"/>
      <c r="S4" s="3"/>
      <c r="T4" s="3"/>
      <c r="U4" s="3"/>
      <c r="V4" s="3"/>
      <c r="W4" s="3"/>
      <c r="X4" s="3"/>
      <c r="Y4" s="3"/>
      <c r="Z4" s="3"/>
      <c r="AA4" s="3"/>
      <c r="AB4" s="3"/>
    </row>
    <row r="5" spans="1:28" ht="16">
      <c r="A5" s="558" t="s">
        <v>446</v>
      </c>
      <c r="B5" s="1869">
        <f>B4*10000</f>
        <v>300000</v>
      </c>
      <c r="C5" s="557" t="s">
        <v>447</v>
      </c>
      <c r="D5" s="6"/>
      <c r="E5" s="3"/>
      <c r="F5" s="8"/>
      <c r="G5" s="8"/>
      <c r="H5" s="8"/>
      <c r="I5" s="8"/>
      <c r="J5" s="3"/>
      <c r="K5" s="3"/>
      <c r="L5" s="3"/>
      <c r="M5" s="3"/>
      <c r="N5" s="3"/>
      <c r="O5" s="3"/>
      <c r="P5" s="3"/>
      <c r="Q5" s="3"/>
      <c r="R5" s="3"/>
      <c r="S5" s="3"/>
      <c r="T5" s="3"/>
      <c r="U5" s="3"/>
      <c r="V5" s="3"/>
      <c r="W5" s="3"/>
      <c r="X5" s="3"/>
      <c r="Y5" s="3"/>
      <c r="Z5" s="3"/>
      <c r="AA5" s="3"/>
      <c r="AB5" s="3"/>
    </row>
    <row r="6" spans="1:28" ht="16">
      <c r="A6" s="559" t="s">
        <v>448</v>
      </c>
      <c r="B6" s="1874">
        <f>5.29*8400</f>
        <v>44436</v>
      </c>
      <c r="C6" s="560" t="s">
        <v>449</v>
      </c>
      <c r="D6" s="6"/>
      <c r="E6" s="3"/>
      <c r="F6" s="8"/>
      <c r="G6" s="8"/>
      <c r="H6" s="8"/>
      <c r="I6" s="8"/>
      <c r="J6" s="3"/>
      <c r="K6" s="3"/>
      <c r="L6" s="3"/>
      <c r="M6" s="3"/>
      <c r="N6" s="3"/>
      <c r="O6" s="3"/>
      <c r="P6" s="3"/>
      <c r="Q6" s="3"/>
      <c r="R6" s="3"/>
      <c r="S6" s="3"/>
      <c r="T6" s="3"/>
      <c r="U6" s="3"/>
      <c r="V6" s="3"/>
      <c r="W6" s="3"/>
      <c r="X6" s="3"/>
      <c r="Y6" s="3"/>
      <c r="Z6" s="3"/>
      <c r="AA6" s="3"/>
      <c r="AB6" s="3"/>
    </row>
    <row r="7" spans="1:28" ht="16">
      <c r="B7" s="6"/>
      <c r="C7" s="6"/>
      <c r="D7" s="6"/>
      <c r="E7" s="3"/>
      <c r="F7" s="3"/>
      <c r="G7" s="3"/>
      <c r="H7" s="3"/>
      <c r="I7" s="3"/>
      <c r="J7" s="3"/>
      <c r="K7" s="3"/>
      <c r="L7" s="3"/>
      <c r="M7" s="3"/>
      <c r="N7" s="3"/>
      <c r="O7" s="3"/>
      <c r="P7" s="3"/>
      <c r="Q7" s="3"/>
      <c r="R7" s="3"/>
      <c r="S7" s="3"/>
      <c r="T7" s="3"/>
      <c r="U7" s="3"/>
      <c r="V7" s="3"/>
      <c r="W7" s="3"/>
      <c r="X7" s="3"/>
      <c r="Y7" s="3"/>
      <c r="Z7" s="3"/>
      <c r="AA7" s="3"/>
      <c r="AB7" s="3"/>
    </row>
    <row r="8" spans="1:28" ht="16">
      <c r="A8" s="561"/>
      <c r="B8" s="6"/>
      <c r="C8" s="6"/>
      <c r="D8" s="6"/>
      <c r="E8" s="3"/>
      <c r="F8" s="3"/>
      <c r="G8" s="3"/>
      <c r="H8" s="3"/>
      <c r="I8" s="3"/>
      <c r="J8" s="3"/>
      <c r="K8" s="3"/>
      <c r="L8" s="3"/>
      <c r="M8" s="3"/>
      <c r="N8" s="3"/>
      <c r="O8" s="3"/>
      <c r="P8" s="3"/>
      <c r="Q8" s="3"/>
      <c r="R8" s="3"/>
      <c r="S8" s="3"/>
      <c r="T8" s="3"/>
      <c r="U8" s="3"/>
      <c r="V8" s="3"/>
      <c r="W8" s="3"/>
      <c r="X8" s="3"/>
      <c r="Y8" s="3"/>
      <c r="Z8" s="3"/>
      <c r="AA8" s="3"/>
      <c r="AB8" s="3"/>
    </row>
    <row r="9" spans="1:28" ht="16">
      <c r="A9" s="553" t="s">
        <v>450</v>
      </c>
      <c r="B9" s="554"/>
      <c r="C9" s="554"/>
      <c r="D9" s="562"/>
      <c r="E9" s="3"/>
      <c r="F9" s="3"/>
      <c r="G9" s="3"/>
      <c r="H9" s="3"/>
      <c r="I9" s="3"/>
      <c r="J9" s="3"/>
      <c r="K9" s="3"/>
      <c r="L9" s="3"/>
      <c r="M9" s="3"/>
      <c r="N9" s="3"/>
      <c r="O9" s="3"/>
      <c r="P9" s="3"/>
      <c r="Q9" s="3"/>
      <c r="R9" s="3"/>
      <c r="S9" s="3"/>
      <c r="T9" s="3"/>
      <c r="U9" s="3"/>
      <c r="V9" s="3"/>
      <c r="W9" s="3"/>
      <c r="X9" s="3"/>
      <c r="Y9" s="3"/>
      <c r="Z9" s="3"/>
      <c r="AA9" s="3"/>
      <c r="AB9" s="3"/>
    </row>
    <row r="10" spans="1:28" ht="16">
      <c r="A10" s="556" t="s">
        <v>451</v>
      </c>
      <c r="B10" s="210" t="s">
        <v>452</v>
      </c>
      <c r="C10" s="1879">
        <f>110000</f>
        <v>110000</v>
      </c>
      <c r="D10" s="541"/>
      <c r="E10" s="3"/>
      <c r="F10" s="3"/>
      <c r="G10" s="3"/>
      <c r="H10" s="3"/>
      <c r="I10" s="3"/>
      <c r="J10" s="3"/>
      <c r="K10" s="3"/>
      <c r="L10" s="3"/>
      <c r="M10" s="3"/>
      <c r="N10" s="3"/>
      <c r="O10" s="3"/>
      <c r="P10" s="3"/>
      <c r="Q10" s="3"/>
      <c r="R10" s="3"/>
      <c r="S10" s="3"/>
      <c r="T10" s="3"/>
      <c r="U10" s="3"/>
      <c r="V10" s="3"/>
      <c r="W10" s="3"/>
      <c r="X10" s="3"/>
      <c r="Y10" s="3"/>
      <c r="Z10" s="3"/>
      <c r="AA10" s="3"/>
      <c r="AB10" s="3"/>
    </row>
    <row r="11" spans="1:28" ht="16">
      <c r="A11" s="556" t="s">
        <v>453</v>
      </c>
      <c r="B11" s="459" t="s">
        <v>454</v>
      </c>
      <c r="C11" s="207">
        <f>0.3*D11</f>
        <v>3.5999999999999996</v>
      </c>
      <c r="D11" s="1342">
        <v>12</v>
      </c>
      <c r="E11" s="3"/>
      <c r="F11" s="3"/>
      <c r="G11" s="3"/>
      <c r="H11" s="3"/>
      <c r="I11" s="3"/>
      <c r="J11" s="3"/>
      <c r="K11" s="3"/>
      <c r="L11" s="3"/>
      <c r="M11" s="3"/>
      <c r="N11" s="3"/>
      <c r="O11" s="3"/>
      <c r="P11" s="3"/>
      <c r="Q11" s="3"/>
      <c r="R11" s="3"/>
      <c r="S11" s="3"/>
      <c r="T11" s="3"/>
      <c r="U11" s="3"/>
      <c r="V11" s="3"/>
      <c r="W11" s="3"/>
      <c r="X11" s="3"/>
      <c r="Y11" s="3"/>
      <c r="Z11" s="3"/>
      <c r="AA11" s="3"/>
      <c r="AB11" s="3"/>
    </row>
    <row r="12" spans="1:28" ht="16">
      <c r="A12" s="556" t="s">
        <v>455</v>
      </c>
      <c r="B12" s="459" t="s">
        <v>456</v>
      </c>
      <c r="C12" s="6"/>
      <c r="D12" s="255"/>
      <c r="E12" s="3"/>
      <c r="F12" s="3"/>
      <c r="G12" s="3"/>
      <c r="H12" s="3"/>
      <c r="I12" s="3"/>
      <c r="J12" s="3"/>
      <c r="K12" s="3"/>
      <c r="L12" s="3"/>
      <c r="M12" s="3"/>
      <c r="N12" s="3"/>
      <c r="O12" s="3"/>
      <c r="P12" s="3"/>
      <c r="Q12" s="3"/>
      <c r="R12" s="3"/>
      <c r="S12" s="3"/>
      <c r="T12" s="3"/>
      <c r="U12" s="3"/>
      <c r="V12" s="3"/>
      <c r="W12" s="3"/>
      <c r="X12" s="3"/>
      <c r="Y12" s="3"/>
      <c r="Z12" s="3"/>
      <c r="AA12" s="3"/>
      <c r="AB12" s="3"/>
    </row>
    <row r="13" spans="1:28" ht="16">
      <c r="A13" s="556" t="s">
        <v>457</v>
      </c>
      <c r="B13" s="6"/>
      <c r="C13" s="6"/>
      <c r="D13" s="255"/>
      <c r="E13" s="3"/>
      <c r="F13" s="3"/>
      <c r="G13" s="3"/>
      <c r="H13" s="3"/>
      <c r="I13" s="3"/>
      <c r="J13" s="3"/>
      <c r="K13" s="3"/>
      <c r="L13" s="3"/>
      <c r="M13" s="3"/>
      <c r="N13" s="3"/>
      <c r="O13" s="3"/>
      <c r="P13" s="3"/>
      <c r="Q13" s="3"/>
      <c r="R13" s="3"/>
      <c r="S13" s="3"/>
      <c r="T13" s="3"/>
      <c r="U13" s="3"/>
      <c r="V13" s="3"/>
      <c r="W13" s="3"/>
      <c r="X13" s="3"/>
      <c r="Y13" s="3"/>
      <c r="Z13" s="3"/>
      <c r="AA13" s="3"/>
      <c r="AB13" s="3"/>
    </row>
    <row r="14" spans="1:28" ht="16">
      <c r="A14" s="556" t="s">
        <v>458</v>
      </c>
      <c r="B14" s="6"/>
      <c r="C14" s="6"/>
      <c r="D14" s="255"/>
      <c r="E14" s="3"/>
      <c r="F14" s="3"/>
      <c r="G14" s="3"/>
      <c r="H14" s="3"/>
      <c r="I14" s="3"/>
      <c r="J14" s="3"/>
      <c r="K14" s="3"/>
      <c r="L14" s="3"/>
      <c r="M14" s="3"/>
      <c r="N14" s="3"/>
      <c r="O14" s="3"/>
      <c r="P14" s="3"/>
      <c r="Q14" s="3"/>
      <c r="R14" s="3"/>
      <c r="S14" s="3"/>
      <c r="T14" s="3"/>
      <c r="U14" s="3"/>
      <c r="V14" s="3"/>
      <c r="W14" s="3"/>
      <c r="X14" s="3"/>
      <c r="Y14" s="3"/>
      <c r="Z14" s="3"/>
      <c r="AA14" s="3"/>
      <c r="AB14" s="3"/>
    </row>
    <row r="15" spans="1:28" ht="16">
      <c r="A15" s="556" t="s">
        <v>459</v>
      </c>
      <c r="B15" s="6"/>
      <c r="C15" s="6"/>
      <c r="D15" s="255"/>
      <c r="E15" s="3"/>
      <c r="F15" s="3"/>
      <c r="G15" s="3"/>
      <c r="H15" s="3"/>
      <c r="I15" s="3"/>
      <c r="J15" s="3"/>
      <c r="K15" s="3"/>
      <c r="L15" s="3"/>
      <c r="M15" s="3"/>
      <c r="N15" s="3"/>
      <c r="O15" s="3"/>
      <c r="P15" s="3"/>
      <c r="Q15" s="3"/>
      <c r="R15" s="3"/>
      <c r="S15" s="3"/>
      <c r="T15" s="3"/>
      <c r="U15" s="3"/>
      <c r="V15" s="3"/>
      <c r="W15" s="3"/>
      <c r="X15" s="3"/>
      <c r="Y15" s="3"/>
      <c r="Z15" s="3"/>
      <c r="AA15" s="3"/>
      <c r="AB15" s="3"/>
    </row>
    <row r="16" spans="1:28" ht="16">
      <c r="A16" s="556" t="s">
        <v>460</v>
      </c>
      <c r="B16" s="6"/>
      <c r="C16" s="6"/>
      <c r="D16" s="255"/>
      <c r="E16" s="3"/>
      <c r="F16" s="3"/>
      <c r="G16" s="3"/>
      <c r="H16" s="3"/>
      <c r="I16" s="3"/>
      <c r="J16" s="3"/>
      <c r="K16" s="3"/>
      <c r="L16" s="3"/>
      <c r="M16" s="3"/>
      <c r="N16" s="3"/>
      <c r="O16" s="3"/>
      <c r="P16" s="3"/>
      <c r="Q16" s="3"/>
      <c r="R16" s="3"/>
      <c r="S16" s="3"/>
      <c r="T16" s="3"/>
      <c r="U16" s="3"/>
      <c r="V16" s="3"/>
      <c r="W16" s="3"/>
      <c r="X16" s="3"/>
      <c r="Y16" s="3"/>
      <c r="Z16" s="3"/>
      <c r="AA16" s="3"/>
      <c r="AB16" s="3"/>
    </row>
    <row r="17" spans="1:28" ht="16">
      <c r="A17" s="556" t="s">
        <v>461</v>
      </c>
      <c r="B17" s="6"/>
      <c r="C17" s="6"/>
      <c r="D17" s="255"/>
      <c r="E17" s="3"/>
      <c r="F17" s="3"/>
      <c r="G17" s="3"/>
      <c r="H17" s="3"/>
      <c r="I17" s="3"/>
      <c r="J17" s="3"/>
      <c r="K17" s="3"/>
      <c r="L17" s="3"/>
      <c r="M17" s="3"/>
      <c r="N17" s="3"/>
      <c r="O17" s="3"/>
      <c r="P17" s="3"/>
      <c r="Q17" s="3"/>
      <c r="R17" s="3"/>
      <c r="S17" s="3"/>
      <c r="T17" s="3"/>
      <c r="U17" s="3"/>
      <c r="V17" s="3"/>
      <c r="W17" s="3"/>
      <c r="X17" s="3"/>
      <c r="Y17" s="3"/>
      <c r="Z17" s="3"/>
      <c r="AA17" s="3"/>
      <c r="AB17" s="3"/>
    </row>
    <row r="18" spans="1:28" ht="34">
      <c r="A18" s="563" t="s">
        <v>462</v>
      </c>
      <c r="B18" s="459" t="s">
        <v>463</v>
      </c>
      <c r="C18" s="6"/>
      <c r="D18" s="255"/>
      <c r="E18" s="3"/>
      <c r="F18" s="3"/>
      <c r="G18" s="3"/>
      <c r="H18" s="3"/>
      <c r="I18" s="3"/>
      <c r="J18" s="3"/>
      <c r="K18" s="3"/>
      <c r="L18" s="3"/>
      <c r="M18" s="3"/>
      <c r="N18" s="3"/>
      <c r="O18" s="3"/>
      <c r="P18" s="3"/>
      <c r="Q18" s="3"/>
      <c r="R18" s="3"/>
      <c r="S18" s="3"/>
      <c r="T18" s="3"/>
      <c r="U18" s="3"/>
      <c r="V18" s="3"/>
      <c r="W18" s="3"/>
      <c r="X18" s="3"/>
      <c r="Y18" s="3"/>
      <c r="Z18" s="3"/>
      <c r="AA18" s="3"/>
      <c r="AB18" s="3"/>
    </row>
    <row r="19" spans="1:28" ht="16">
      <c r="A19" s="556" t="s">
        <v>464</v>
      </c>
      <c r="B19" s="6"/>
      <c r="C19" s="6"/>
      <c r="D19" s="255"/>
      <c r="E19" s="3"/>
      <c r="F19" s="3"/>
      <c r="G19" s="3"/>
      <c r="H19" s="3"/>
      <c r="I19" s="3"/>
      <c r="J19" s="3"/>
      <c r="K19" s="3"/>
      <c r="L19" s="3"/>
      <c r="M19" s="3"/>
      <c r="N19" s="3"/>
      <c r="O19" s="3"/>
      <c r="P19" s="3"/>
      <c r="Q19" s="3"/>
      <c r="R19" s="3"/>
      <c r="S19" s="3"/>
      <c r="T19" s="3"/>
      <c r="U19" s="3"/>
      <c r="V19" s="3"/>
      <c r="W19" s="3"/>
      <c r="X19" s="3"/>
      <c r="Y19" s="3"/>
      <c r="Z19" s="3"/>
      <c r="AA19" s="3"/>
      <c r="AB19" s="3"/>
    </row>
    <row r="20" spans="1:28" ht="34">
      <c r="A20" s="563" t="s">
        <v>465</v>
      </c>
      <c r="B20" s="6"/>
      <c r="C20" s="6"/>
      <c r="D20" s="255"/>
      <c r="E20" s="3"/>
      <c r="F20" s="3"/>
      <c r="G20" s="3"/>
      <c r="H20" s="3"/>
      <c r="I20" s="3"/>
      <c r="J20" s="3"/>
      <c r="K20" s="3"/>
      <c r="L20" s="3"/>
      <c r="M20" s="3"/>
      <c r="N20" s="3"/>
      <c r="O20" s="3"/>
      <c r="P20" s="3"/>
      <c r="Q20" s="3"/>
      <c r="R20" s="3"/>
      <c r="S20" s="3"/>
      <c r="T20" s="3"/>
      <c r="U20" s="3"/>
      <c r="V20" s="3"/>
      <c r="W20" s="3"/>
      <c r="X20" s="3"/>
      <c r="Y20" s="3"/>
      <c r="Z20" s="3"/>
      <c r="AA20" s="3"/>
      <c r="AB20" s="3"/>
    </row>
    <row r="21" spans="1:28" ht="34">
      <c r="A21" s="564" t="s">
        <v>466</v>
      </c>
      <c r="B21" s="544"/>
      <c r="C21" s="544"/>
      <c r="D21" s="565"/>
      <c r="E21" s="3"/>
      <c r="F21" s="3"/>
      <c r="G21" s="3"/>
      <c r="H21" s="3"/>
      <c r="I21" s="3"/>
      <c r="J21" s="3"/>
      <c r="K21" s="3"/>
      <c r="L21" s="3"/>
      <c r="M21" s="3"/>
      <c r="N21" s="3"/>
      <c r="O21" s="3"/>
      <c r="P21" s="3"/>
      <c r="Q21" s="3"/>
      <c r="R21" s="3"/>
      <c r="S21" s="3"/>
      <c r="T21" s="3"/>
      <c r="U21" s="3"/>
      <c r="V21" s="3"/>
      <c r="W21" s="3"/>
      <c r="X21" s="3"/>
      <c r="Y21" s="3"/>
      <c r="Z21" s="3"/>
      <c r="AA21" s="3"/>
      <c r="AB21" s="3"/>
    </row>
    <row r="22" spans="1:28" ht="16">
      <c r="A22" s="561"/>
      <c r="B22" s="6"/>
      <c r="C22" s="6"/>
      <c r="D22" s="6"/>
      <c r="E22" s="3"/>
      <c r="F22" s="3"/>
      <c r="G22" s="3"/>
      <c r="H22" s="3"/>
      <c r="I22" s="3"/>
      <c r="J22" s="3"/>
      <c r="K22" s="3"/>
      <c r="L22" s="3"/>
      <c r="M22" s="3"/>
      <c r="N22" s="3"/>
      <c r="O22" s="3"/>
      <c r="P22" s="3"/>
      <c r="Q22" s="3"/>
      <c r="R22" s="3"/>
      <c r="S22" s="3"/>
      <c r="T22" s="3"/>
      <c r="U22" s="3"/>
      <c r="V22" s="3"/>
      <c r="W22" s="3"/>
      <c r="X22" s="3"/>
      <c r="Y22" s="3"/>
      <c r="Z22" s="3"/>
      <c r="AA22" s="3"/>
      <c r="AB22" s="3"/>
    </row>
    <row r="23" spans="1:28" ht="17" thickBot="1">
      <c r="A23" s="561"/>
      <c r="B23" s="6"/>
      <c r="C23" s="6"/>
      <c r="D23" s="6"/>
      <c r="E23" s="3"/>
      <c r="F23" s="3"/>
      <c r="G23" s="3"/>
      <c r="H23" s="3"/>
      <c r="I23" s="3"/>
      <c r="J23" s="3"/>
      <c r="K23" s="3"/>
      <c r="L23" s="3"/>
      <c r="M23" s="3"/>
      <c r="N23" s="3"/>
      <c r="O23" s="3"/>
      <c r="P23" s="3"/>
      <c r="Q23" s="3"/>
      <c r="R23" s="3"/>
      <c r="S23" s="3"/>
      <c r="T23" s="3"/>
      <c r="U23" s="3"/>
      <c r="V23" s="3"/>
      <c r="W23" s="3"/>
      <c r="X23" s="3"/>
      <c r="Y23" s="3"/>
      <c r="Z23" s="3"/>
      <c r="AA23" s="3"/>
      <c r="AB23" s="3"/>
    </row>
    <row r="24" spans="1:28" ht="18" thickTop="1" thickBot="1">
      <c r="A24" s="553" t="s">
        <v>467</v>
      </c>
      <c r="B24" s="1343"/>
      <c r="C24" s="1344"/>
      <c r="D24" s="6"/>
      <c r="E24" s="3"/>
      <c r="F24" s="3"/>
      <c r="G24" s="3"/>
      <c r="H24" s="3"/>
      <c r="I24" s="3"/>
      <c r="J24" s="3"/>
      <c r="K24" s="3"/>
      <c r="L24" s="3"/>
      <c r="M24" s="3"/>
      <c r="N24" s="3"/>
      <c r="O24" s="3"/>
      <c r="P24" s="3"/>
      <c r="Q24" s="3"/>
      <c r="R24" s="3"/>
      <c r="S24" s="3"/>
      <c r="T24" s="3"/>
      <c r="U24" s="3"/>
      <c r="V24" s="3"/>
      <c r="W24" s="3"/>
      <c r="X24" s="3"/>
      <c r="Y24" s="3"/>
      <c r="Z24" s="3"/>
      <c r="AA24" s="3"/>
      <c r="AB24" s="3"/>
    </row>
    <row r="25" spans="1:28" ht="17" thickTop="1">
      <c r="A25" s="750" t="s">
        <v>468</v>
      </c>
      <c r="B25" s="1345">
        <v>5000</v>
      </c>
      <c r="C25" s="1346" t="s">
        <v>469</v>
      </c>
      <c r="D25" s="6"/>
      <c r="E25" s="3"/>
      <c r="F25" s="3"/>
      <c r="G25" s="3"/>
      <c r="H25" s="3"/>
      <c r="I25" s="3"/>
      <c r="J25" s="3"/>
      <c r="K25" s="3"/>
      <c r="L25" s="3"/>
      <c r="M25" s="3"/>
      <c r="N25" s="3"/>
      <c r="O25" s="3"/>
      <c r="P25" s="3"/>
      <c r="Q25" s="3"/>
      <c r="R25" s="3"/>
      <c r="S25" s="3"/>
      <c r="T25" s="3"/>
      <c r="U25" s="3"/>
      <c r="V25" s="3"/>
      <c r="W25" s="3"/>
      <c r="X25" s="3"/>
      <c r="Y25" s="3"/>
      <c r="Z25" s="3"/>
      <c r="AA25" s="3"/>
      <c r="AB25" s="3"/>
    </row>
    <row r="26" spans="1:28" ht="16">
      <c r="A26" s="737"/>
      <c r="B26" s="1347">
        <v>7200</v>
      </c>
      <c r="C26" s="1348" t="s">
        <v>470</v>
      </c>
      <c r="D26" s="6"/>
      <c r="E26" s="3"/>
      <c r="F26" s="3"/>
      <c r="G26" s="3"/>
      <c r="H26" s="3"/>
      <c r="I26" s="3"/>
      <c r="J26" s="3"/>
      <c r="K26" s="3"/>
      <c r="L26" s="3"/>
      <c r="M26" s="3"/>
      <c r="N26" s="3"/>
      <c r="O26" s="3"/>
      <c r="P26" s="3"/>
      <c r="Q26" s="3"/>
      <c r="R26" s="3"/>
      <c r="S26" s="3"/>
      <c r="T26" s="3"/>
      <c r="U26" s="3"/>
      <c r="V26" s="3"/>
      <c r="W26" s="3"/>
      <c r="X26" s="3"/>
      <c r="Y26" s="3"/>
      <c r="Z26" s="3"/>
      <c r="AA26" s="3"/>
      <c r="AB26" s="3"/>
    </row>
    <row r="27" spans="1:28" ht="17" thickBot="1">
      <c r="A27" s="742"/>
      <c r="B27" s="1349">
        <v>0.05</v>
      </c>
      <c r="C27" s="1350" t="s">
        <v>471</v>
      </c>
      <c r="D27" s="6"/>
      <c r="E27" s="3"/>
      <c r="F27" s="3"/>
      <c r="G27" s="3"/>
      <c r="H27" s="566"/>
      <c r="I27" s="3"/>
      <c r="J27" s="3"/>
      <c r="K27" s="3"/>
      <c r="L27" s="3"/>
      <c r="M27" s="3"/>
      <c r="N27" s="3"/>
      <c r="O27" s="3"/>
      <c r="P27" s="3"/>
      <c r="Q27" s="3"/>
      <c r="R27" s="3"/>
      <c r="S27" s="3"/>
      <c r="T27" s="3"/>
      <c r="U27" s="3"/>
      <c r="V27" s="3"/>
      <c r="W27" s="3"/>
      <c r="X27" s="3"/>
      <c r="Y27" s="3"/>
      <c r="Z27" s="3"/>
      <c r="AA27" s="3"/>
      <c r="AB27" s="3"/>
    </row>
    <row r="28" spans="1:28" ht="17" thickTop="1">
      <c r="A28" s="14"/>
      <c r="B28" s="6"/>
      <c r="C28" s="6"/>
      <c r="D28" s="6"/>
      <c r="E28" s="3"/>
      <c r="F28" s="3"/>
      <c r="G28" s="3"/>
      <c r="H28" s="3"/>
      <c r="I28" s="3"/>
      <c r="J28" s="3"/>
      <c r="K28" s="3"/>
      <c r="L28" s="3"/>
      <c r="M28" s="3"/>
      <c r="N28" s="3"/>
      <c r="O28" s="3"/>
      <c r="P28" s="3"/>
      <c r="Q28" s="3"/>
      <c r="R28" s="3"/>
      <c r="S28" s="3"/>
      <c r="T28" s="3"/>
      <c r="U28" s="3"/>
      <c r="V28" s="3"/>
      <c r="W28" s="3"/>
      <c r="X28" s="3"/>
      <c r="Y28" s="3"/>
      <c r="Z28" s="3"/>
      <c r="AA28" s="3"/>
      <c r="AB28" s="3"/>
    </row>
    <row r="29" spans="1:28" ht="17" thickBot="1">
      <c r="A29" s="3"/>
      <c r="B29" s="6"/>
      <c r="C29" s="6"/>
      <c r="D29" s="6"/>
      <c r="E29" s="3"/>
      <c r="F29" s="3"/>
      <c r="G29" s="3"/>
      <c r="H29" s="14"/>
      <c r="I29" s="3"/>
      <c r="J29" s="3"/>
      <c r="K29" s="3"/>
      <c r="L29" s="3"/>
      <c r="M29" s="3"/>
      <c r="N29" s="3"/>
      <c r="O29" s="3"/>
      <c r="P29" s="3"/>
      <c r="Q29" s="3"/>
      <c r="R29" s="3"/>
      <c r="S29" s="3"/>
      <c r="T29" s="3"/>
      <c r="U29" s="3"/>
      <c r="V29" s="3"/>
      <c r="W29" s="3"/>
      <c r="X29" s="3"/>
      <c r="Y29" s="3"/>
      <c r="Z29" s="3"/>
      <c r="AA29" s="3"/>
      <c r="AB29" s="3"/>
    </row>
    <row r="30" spans="1:28" ht="18" thickTop="1" thickBot="1">
      <c r="A30" s="1354" t="s">
        <v>472</v>
      </c>
      <c r="B30" s="1343"/>
      <c r="C30" s="1344"/>
      <c r="D30" s="6"/>
      <c r="E30" s="3"/>
      <c r="F30" s="3"/>
      <c r="G30" s="3"/>
      <c r="H30" s="3"/>
      <c r="I30" s="3"/>
      <c r="J30" s="3"/>
      <c r="K30" s="3"/>
      <c r="L30" s="3"/>
      <c r="M30" s="3"/>
      <c r="N30" s="3"/>
      <c r="O30" s="3"/>
      <c r="P30" s="3"/>
      <c r="Q30" s="3"/>
      <c r="R30" s="3"/>
      <c r="S30" s="3"/>
      <c r="T30" s="3"/>
      <c r="U30" s="3"/>
      <c r="V30" s="3"/>
      <c r="W30" s="3"/>
      <c r="X30" s="3"/>
      <c r="Y30" s="3"/>
      <c r="Z30" s="3"/>
      <c r="AA30" s="3"/>
      <c r="AB30" s="3"/>
    </row>
    <row r="31" spans="1:28" ht="16">
      <c r="A31" s="1355" t="s">
        <v>473</v>
      </c>
      <c r="B31" s="1351">
        <v>1500</v>
      </c>
      <c r="C31" s="1346" t="s">
        <v>474</v>
      </c>
      <c r="D31" s="6"/>
      <c r="E31" s="3"/>
      <c r="F31" s="3"/>
      <c r="G31" s="3"/>
      <c r="H31" s="3"/>
      <c r="I31" s="3"/>
      <c r="J31" s="3"/>
      <c r="K31" s="3"/>
      <c r="L31" s="3"/>
      <c r="M31" s="3"/>
      <c r="N31" s="3"/>
      <c r="O31" s="3"/>
      <c r="P31" s="3"/>
      <c r="Q31" s="3"/>
      <c r="R31" s="3"/>
      <c r="S31" s="3"/>
      <c r="T31" s="3"/>
      <c r="U31" s="3"/>
      <c r="V31" s="3"/>
      <c r="W31" s="3"/>
      <c r="X31" s="3"/>
      <c r="Y31" s="3"/>
      <c r="Z31" s="3"/>
      <c r="AA31" s="3"/>
      <c r="AB31" s="3"/>
    </row>
    <row r="32" spans="1:28" ht="16">
      <c r="A32" s="1356" t="s">
        <v>475</v>
      </c>
      <c r="B32" s="1352">
        <v>1000</v>
      </c>
      <c r="C32" s="1348" t="s">
        <v>474</v>
      </c>
      <c r="D32" s="6"/>
      <c r="E32" s="3"/>
      <c r="F32" s="3"/>
      <c r="G32" s="3"/>
      <c r="H32" s="14"/>
      <c r="I32" s="3"/>
      <c r="J32" s="3"/>
      <c r="K32" s="3"/>
      <c r="L32" s="3"/>
      <c r="M32" s="3"/>
      <c r="N32" s="3"/>
      <c r="O32" s="3"/>
      <c r="P32" s="3"/>
      <c r="Q32" s="3"/>
      <c r="R32" s="3"/>
      <c r="S32" s="3"/>
      <c r="T32" s="3"/>
      <c r="U32" s="3"/>
      <c r="V32" s="3"/>
      <c r="W32" s="3"/>
      <c r="X32" s="3"/>
      <c r="Y32" s="3"/>
      <c r="Z32" s="3"/>
      <c r="AA32" s="3"/>
      <c r="AB32" s="3"/>
    </row>
    <row r="33" spans="1:28" ht="16">
      <c r="A33" s="1356" t="s">
        <v>476</v>
      </c>
      <c r="B33" s="1352">
        <v>750</v>
      </c>
      <c r="C33" s="1348" t="s">
        <v>477</v>
      </c>
      <c r="D33" s="6"/>
      <c r="E33" s="3"/>
      <c r="F33" s="3"/>
      <c r="G33" s="3"/>
      <c r="H33" s="3"/>
      <c r="I33" s="3"/>
      <c r="J33" s="3"/>
      <c r="K33" s="3"/>
      <c r="L33" s="3"/>
      <c r="M33" s="3"/>
      <c r="N33" s="3"/>
      <c r="O33" s="3"/>
      <c r="P33" s="3"/>
      <c r="Q33" s="3"/>
      <c r="R33" s="3"/>
      <c r="S33" s="3"/>
      <c r="T33" s="3"/>
      <c r="U33" s="3"/>
      <c r="V33" s="3"/>
      <c r="W33" s="3"/>
      <c r="X33" s="3"/>
      <c r="Y33" s="3"/>
      <c r="Z33" s="3"/>
      <c r="AA33" s="3"/>
      <c r="AB33" s="3"/>
    </row>
    <row r="34" spans="1:28" ht="16">
      <c r="A34" s="1356" t="s">
        <v>478</v>
      </c>
      <c r="B34" s="1352">
        <v>1500</v>
      </c>
      <c r="C34" s="1348"/>
      <c r="D34" s="6"/>
      <c r="E34" s="3"/>
      <c r="F34" s="3"/>
      <c r="G34" s="3"/>
      <c r="H34" s="3"/>
      <c r="I34" s="3"/>
      <c r="J34" s="3"/>
      <c r="K34" s="3"/>
      <c r="L34" s="3"/>
      <c r="M34" s="3"/>
      <c r="N34" s="3"/>
      <c r="O34" s="3"/>
      <c r="P34" s="3"/>
      <c r="Q34" s="3"/>
      <c r="R34" s="3"/>
      <c r="S34" s="3"/>
      <c r="T34" s="3"/>
      <c r="U34" s="3"/>
      <c r="V34" s="3"/>
      <c r="W34" s="3"/>
      <c r="X34" s="3"/>
      <c r="Y34" s="3"/>
      <c r="Z34" s="3"/>
      <c r="AA34" s="3"/>
      <c r="AB34" s="3"/>
    </row>
    <row r="35" spans="1:28" ht="16">
      <c r="A35" s="1356" t="s">
        <v>479</v>
      </c>
      <c r="B35" s="1352">
        <v>350</v>
      </c>
      <c r="C35" s="1348"/>
      <c r="D35" s="6"/>
      <c r="E35" s="3"/>
      <c r="F35" s="3"/>
      <c r="G35" s="3"/>
      <c r="H35" s="3"/>
      <c r="I35" s="3"/>
      <c r="J35" s="3"/>
      <c r="K35" s="3"/>
      <c r="L35" s="3"/>
      <c r="M35" s="3"/>
      <c r="N35" s="3"/>
      <c r="O35" s="3"/>
      <c r="P35" s="3"/>
      <c r="Q35" s="3"/>
      <c r="R35" s="3"/>
      <c r="S35" s="3"/>
      <c r="T35" s="3"/>
      <c r="U35" s="3"/>
      <c r="V35" s="3"/>
      <c r="W35" s="3"/>
      <c r="X35" s="3"/>
      <c r="Y35" s="3"/>
      <c r="Z35" s="3"/>
      <c r="AA35" s="3"/>
      <c r="AB35" s="3"/>
    </row>
    <row r="36" spans="1:28" ht="16">
      <c r="A36" s="1356" t="s">
        <v>480</v>
      </c>
      <c r="B36" s="1352">
        <v>1000</v>
      </c>
      <c r="C36" s="1348"/>
      <c r="D36" s="6"/>
      <c r="E36" s="3"/>
      <c r="F36" s="3"/>
      <c r="G36" s="3"/>
      <c r="H36" s="3"/>
      <c r="I36" s="3"/>
      <c r="J36" s="3"/>
      <c r="K36" s="3"/>
      <c r="L36" s="3"/>
      <c r="M36" s="3"/>
      <c r="N36" s="3"/>
      <c r="O36" s="3"/>
      <c r="P36" s="3"/>
      <c r="Q36" s="3"/>
      <c r="R36" s="3"/>
      <c r="S36" s="3"/>
      <c r="T36" s="3"/>
      <c r="U36" s="3"/>
      <c r="V36" s="3"/>
      <c r="W36" s="3"/>
      <c r="X36" s="3"/>
      <c r="Y36" s="3"/>
      <c r="Z36" s="3"/>
      <c r="AA36" s="3"/>
      <c r="AB36" s="3"/>
    </row>
    <row r="37" spans="1:28" ht="17" thickBot="1">
      <c r="A37" s="1357" t="s">
        <v>481</v>
      </c>
      <c r="B37" s="1353">
        <v>400</v>
      </c>
      <c r="C37" s="1350"/>
      <c r="D37" s="6"/>
      <c r="E37" s="3"/>
      <c r="F37" s="3"/>
      <c r="G37" s="3"/>
      <c r="H37" s="3"/>
      <c r="I37" s="3"/>
      <c r="J37" s="3"/>
      <c r="K37" s="3"/>
      <c r="L37" s="3"/>
      <c r="M37" s="3"/>
      <c r="N37" s="3"/>
      <c r="O37" s="3"/>
      <c r="P37" s="3"/>
      <c r="Q37" s="3"/>
      <c r="R37" s="3"/>
      <c r="S37" s="3"/>
      <c r="T37" s="3"/>
      <c r="U37" s="3"/>
      <c r="V37" s="3"/>
      <c r="W37" s="3"/>
      <c r="X37" s="3"/>
      <c r="Y37" s="3"/>
      <c r="Z37" s="3"/>
      <c r="AA37" s="3"/>
      <c r="AB37" s="3"/>
    </row>
    <row r="38" spans="1:28" ht="16">
      <c r="A38" s="561"/>
      <c r="B38" s="6"/>
      <c r="C38" s="6"/>
      <c r="D38" s="6"/>
      <c r="E38" s="3"/>
      <c r="F38" s="3"/>
      <c r="G38" s="3"/>
      <c r="H38" s="3"/>
      <c r="I38" s="3"/>
      <c r="J38" s="3"/>
      <c r="K38" s="3"/>
      <c r="L38" s="3"/>
      <c r="M38" s="3"/>
      <c r="N38" s="3"/>
      <c r="O38" s="3"/>
      <c r="P38" s="3"/>
      <c r="Q38" s="3"/>
      <c r="R38" s="3"/>
      <c r="S38" s="3"/>
      <c r="T38" s="3"/>
      <c r="U38" s="3"/>
      <c r="V38" s="3"/>
      <c r="W38" s="3"/>
      <c r="X38" s="3"/>
      <c r="Y38" s="3"/>
      <c r="Z38" s="3"/>
      <c r="AA38" s="3"/>
      <c r="AB38" s="3"/>
    </row>
    <row r="39" spans="1:28" ht="17" thickBot="1">
      <c r="A39" s="561"/>
      <c r="B39" s="6"/>
      <c r="C39" s="6"/>
      <c r="D39" s="6"/>
      <c r="E39" s="3"/>
      <c r="F39" s="3"/>
      <c r="G39" s="3"/>
      <c r="H39" s="3"/>
      <c r="I39" s="3"/>
      <c r="J39" s="3"/>
      <c r="K39" s="3"/>
      <c r="L39" s="3"/>
      <c r="M39" s="3"/>
      <c r="N39" s="3"/>
      <c r="O39" s="3"/>
      <c r="P39" s="3"/>
      <c r="Q39" s="3"/>
      <c r="R39" s="3"/>
      <c r="S39" s="3"/>
      <c r="T39" s="3"/>
      <c r="U39" s="3"/>
      <c r="V39" s="3"/>
      <c r="W39" s="3"/>
      <c r="X39" s="3"/>
      <c r="Y39" s="3"/>
      <c r="Z39" s="3"/>
      <c r="AA39" s="3"/>
      <c r="AB39" s="3"/>
    </row>
    <row r="40" spans="1:28" ht="18" thickTop="1" thickBot="1">
      <c r="A40" s="1354" t="s">
        <v>482</v>
      </c>
      <c r="B40" s="1343"/>
      <c r="C40" s="1344"/>
      <c r="D40" s="6"/>
      <c r="E40" s="3"/>
      <c r="F40" s="3"/>
      <c r="G40" s="3"/>
      <c r="H40" s="3"/>
      <c r="I40" s="3"/>
      <c r="J40" s="3"/>
      <c r="K40" s="3"/>
      <c r="L40" s="3"/>
      <c r="M40" s="3"/>
      <c r="N40" s="3"/>
      <c r="O40" s="3"/>
      <c r="P40" s="3"/>
      <c r="Q40" s="3"/>
      <c r="R40" s="3"/>
      <c r="S40" s="3"/>
      <c r="T40" s="3"/>
      <c r="U40" s="3"/>
      <c r="V40" s="3"/>
      <c r="W40" s="3"/>
      <c r="X40" s="3"/>
      <c r="Y40" s="3"/>
      <c r="Z40" s="3"/>
      <c r="AA40" s="3"/>
      <c r="AB40" s="3"/>
    </row>
    <row r="41" spans="1:28" ht="16">
      <c r="A41" s="1355" t="s">
        <v>483</v>
      </c>
      <c r="B41" s="1359">
        <v>12000</v>
      </c>
      <c r="C41" s="1346" t="s">
        <v>484</v>
      </c>
      <c r="D41" s="6"/>
      <c r="E41" s="3"/>
      <c r="F41" s="3"/>
      <c r="G41" s="3"/>
      <c r="H41" s="3"/>
      <c r="I41" s="3"/>
      <c r="J41" s="3"/>
      <c r="K41" s="3"/>
      <c r="L41" s="3"/>
      <c r="M41" s="3"/>
      <c r="N41" s="3"/>
      <c r="O41" s="3"/>
      <c r="P41" s="3"/>
      <c r="Q41" s="3"/>
      <c r="R41" s="3"/>
      <c r="S41" s="3"/>
      <c r="T41" s="3"/>
      <c r="U41" s="3"/>
      <c r="V41" s="3"/>
      <c r="W41" s="3"/>
      <c r="X41" s="3"/>
      <c r="Y41" s="3"/>
      <c r="Z41" s="3"/>
      <c r="AA41" s="3"/>
      <c r="AB41" s="3"/>
    </row>
    <row r="42" spans="1:28" ht="16">
      <c r="A42" s="1356" t="s">
        <v>485</v>
      </c>
      <c r="B42" s="1360">
        <v>0.05</v>
      </c>
      <c r="C42" s="1348" t="s">
        <v>484</v>
      </c>
      <c r="D42" s="6"/>
      <c r="E42" s="3"/>
      <c r="F42" s="3"/>
      <c r="G42" s="3"/>
      <c r="H42" s="3"/>
      <c r="I42" s="3"/>
      <c r="J42" s="3"/>
      <c r="K42" s="3"/>
      <c r="L42" s="3"/>
      <c r="M42" s="3"/>
      <c r="N42" s="3"/>
      <c r="O42" s="3"/>
      <c r="P42" s="3"/>
      <c r="Q42" s="3"/>
      <c r="R42" s="3"/>
      <c r="S42" s="3"/>
      <c r="T42" s="3"/>
      <c r="U42" s="3"/>
      <c r="V42" s="3"/>
      <c r="W42" s="3"/>
      <c r="X42" s="3"/>
      <c r="Y42" s="3"/>
      <c r="Z42" s="3"/>
      <c r="AA42" s="3"/>
      <c r="AB42" s="3"/>
    </row>
    <row r="43" spans="1:28" ht="16">
      <c r="A43" s="1356" t="s">
        <v>486</v>
      </c>
      <c r="B43" s="1352">
        <f>2500</f>
        <v>2500</v>
      </c>
      <c r="C43" s="1348"/>
      <c r="D43" s="567"/>
      <c r="E43" s="8"/>
      <c r="F43" s="3"/>
      <c r="G43" s="3"/>
      <c r="H43" s="3"/>
      <c r="I43" s="3"/>
      <c r="J43" s="3"/>
      <c r="K43" s="3"/>
      <c r="L43" s="3"/>
      <c r="M43" s="3"/>
      <c r="N43" s="3"/>
      <c r="O43" s="3"/>
      <c r="P43" s="3"/>
      <c r="Q43" s="3"/>
      <c r="R43" s="3"/>
      <c r="S43" s="3"/>
      <c r="T43" s="3"/>
      <c r="U43" s="3"/>
      <c r="V43" s="3"/>
      <c r="W43" s="3"/>
      <c r="X43" s="3"/>
      <c r="Y43" s="3"/>
      <c r="Z43" s="3"/>
      <c r="AA43" s="3"/>
      <c r="AB43" s="3"/>
    </row>
    <row r="44" spans="1:28" ht="16">
      <c r="A44" s="1356" t="s">
        <v>487</v>
      </c>
      <c r="B44" s="1352">
        <v>300</v>
      </c>
      <c r="C44" s="1348" t="s">
        <v>488</v>
      </c>
      <c r="D44" s="459"/>
      <c r="E44" s="3"/>
      <c r="F44" s="3"/>
      <c r="G44" s="3"/>
      <c r="H44" s="3"/>
      <c r="I44" s="3"/>
      <c r="J44" s="3"/>
      <c r="K44" s="3"/>
      <c r="L44" s="3"/>
      <c r="M44" s="3"/>
      <c r="N44" s="3"/>
      <c r="O44" s="3"/>
      <c r="P44" s="3"/>
      <c r="Q44" s="3"/>
      <c r="R44" s="3"/>
      <c r="S44" s="3"/>
      <c r="T44" s="3"/>
      <c r="U44" s="3"/>
      <c r="V44" s="3"/>
      <c r="W44" s="3"/>
      <c r="X44" s="3"/>
      <c r="Y44" s="3"/>
      <c r="Z44" s="3"/>
      <c r="AA44" s="3"/>
      <c r="AB44" s="3"/>
    </row>
    <row r="45" spans="1:28" ht="16">
      <c r="A45" s="1356" t="s">
        <v>489</v>
      </c>
      <c r="B45" s="1352">
        <v>960</v>
      </c>
      <c r="C45" s="1348" t="s">
        <v>488</v>
      </c>
      <c r="D45" s="459"/>
      <c r="E45" s="3"/>
      <c r="F45" s="3"/>
      <c r="G45" s="3"/>
      <c r="H45" s="3"/>
      <c r="I45" s="3"/>
      <c r="J45" s="3"/>
      <c r="K45" s="3"/>
      <c r="L45" s="3"/>
      <c r="M45" s="3"/>
      <c r="N45" s="3"/>
      <c r="O45" s="3"/>
      <c r="P45" s="3"/>
      <c r="Q45" s="3"/>
      <c r="R45" s="3"/>
      <c r="S45" s="3"/>
      <c r="T45" s="3"/>
      <c r="U45" s="3"/>
      <c r="V45" s="3"/>
      <c r="W45" s="3"/>
      <c r="X45" s="3"/>
      <c r="Y45" s="3"/>
      <c r="Z45" s="3"/>
      <c r="AA45" s="3"/>
      <c r="AB45" s="3"/>
    </row>
    <row r="46" spans="1:28" ht="16">
      <c r="A46" s="1356" t="s">
        <v>490</v>
      </c>
      <c r="B46" s="1352">
        <v>1080</v>
      </c>
      <c r="C46" s="1348" t="s">
        <v>488</v>
      </c>
      <c r="D46" s="459"/>
      <c r="E46" s="3"/>
      <c r="F46" s="3"/>
      <c r="G46" s="3"/>
      <c r="H46" s="3"/>
      <c r="I46" s="3"/>
      <c r="J46" s="3"/>
      <c r="K46" s="3"/>
      <c r="L46" s="3"/>
      <c r="M46" s="3"/>
      <c r="N46" s="3"/>
      <c r="O46" s="3"/>
      <c r="P46" s="3"/>
      <c r="Q46" s="3"/>
      <c r="R46" s="3"/>
      <c r="S46" s="3"/>
      <c r="T46" s="3"/>
      <c r="U46" s="3"/>
      <c r="V46" s="3"/>
      <c r="W46" s="3"/>
      <c r="X46" s="3"/>
      <c r="Y46" s="3"/>
      <c r="Z46" s="3"/>
      <c r="AA46" s="3"/>
      <c r="AB46" s="3"/>
    </row>
    <row r="47" spans="1:28" ht="16">
      <c r="A47" s="1356" t="s">
        <v>491</v>
      </c>
      <c r="B47" s="1352">
        <v>1440</v>
      </c>
      <c r="C47" s="1348" t="s">
        <v>488</v>
      </c>
      <c r="D47" s="459"/>
      <c r="E47" s="3"/>
      <c r="F47" s="3"/>
      <c r="G47" s="3"/>
      <c r="H47" s="3"/>
      <c r="I47" s="3"/>
      <c r="J47" s="3"/>
      <c r="K47" s="3"/>
      <c r="L47" s="3"/>
      <c r="M47" s="3"/>
      <c r="N47" s="3"/>
      <c r="O47" s="3"/>
      <c r="P47" s="3"/>
      <c r="Q47" s="3"/>
      <c r="R47" s="3"/>
      <c r="S47" s="3"/>
      <c r="T47" s="3"/>
      <c r="U47" s="3"/>
      <c r="V47" s="3"/>
      <c r="W47" s="3"/>
      <c r="X47" s="3"/>
      <c r="Y47" s="3"/>
      <c r="Z47" s="3"/>
      <c r="AA47" s="3"/>
      <c r="AB47" s="3"/>
    </row>
    <row r="48" spans="1:28" ht="16">
      <c r="A48" s="1356" t="s">
        <v>492</v>
      </c>
      <c r="B48" s="1361">
        <v>144</v>
      </c>
      <c r="C48" s="1348" t="s">
        <v>488</v>
      </c>
      <c r="D48" s="459"/>
      <c r="E48" s="3"/>
      <c r="F48" s="3"/>
      <c r="G48" s="3"/>
      <c r="H48" s="3"/>
      <c r="I48" s="3"/>
      <c r="J48" s="3"/>
      <c r="K48" s="3"/>
      <c r="L48" s="3"/>
      <c r="M48" s="3"/>
      <c r="N48" s="3"/>
      <c r="O48" s="3"/>
      <c r="P48" s="3"/>
      <c r="Q48" s="3"/>
      <c r="R48" s="3"/>
      <c r="S48" s="3"/>
      <c r="T48" s="3"/>
      <c r="U48" s="3"/>
      <c r="V48" s="3"/>
      <c r="W48" s="3"/>
      <c r="X48" s="3"/>
      <c r="Y48" s="3"/>
      <c r="Z48" s="3"/>
      <c r="AA48" s="3"/>
      <c r="AB48" s="3"/>
    </row>
    <row r="49" spans="1:28" ht="16">
      <c r="A49" s="1356" t="s">
        <v>493</v>
      </c>
      <c r="B49" s="1361">
        <v>144</v>
      </c>
      <c r="C49" s="1348" t="s">
        <v>488</v>
      </c>
      <c r="D49" s="568"/>
      <c r="E49" s="3"/>
      <c r="F49" s="569"/>
      <c r="G49" s="3"/>
      <c r="H49" s="3"/>
      <c r="I49" s="3"/>
      <c r="J49" s="3"/>
      <c r="K49" s="3"/>
      <c r="L49" s="3"/>
      <c r="M49" s="3"/>
      <c r="N49" s="3"/>
      <c r="O49" s="3"/>
      <c r="P49" s="3"/>
      <c r="Q49" s="3"/>
      <c r="R49" s="3"/>
      <c r="S49" s="3"/>
      <c r="T49" s="3"/>
      <c r="U49" s="3"/>
      <c r="V49" s="3"/>
      <c r="W49" s="3"/>
      <c r="X49" s="3"/>
      <c r="Y49" s="3"/>
      <c r="Z49" s="3"/>
      <c r="AA49" s="3"/>
      <c r="AB49" s="3"/>
    </row>
    <row r="50" spans="1:28" ht="16">
      <c r="A50" s="1356" t="s">
        <v>494</v>
      </c>
      <c r="B50" s="1361">
        <v>144</v>
      </c>
      <c r="C50" s="1348" t="s">
        <v>488</v>
      </c>
      <c r="D50" s="459"/>
      <c r="E50" s="3"/>
      <c r="F50" s="3"/>
      <c r="G50" s="3"/>
      <c r="H50" s="3"/>
      <c r="I50" s="3"/>
      <c r="J50" s="3"/>
      <c r="K50" s="3"/>
      <c r="L50" s="3"/>
      <c r="M50" s="3"/>
      <c r="N50" s="3"/>
      <c r="O50" s="3"/>
      <c r="P50" s="3"/>
      <c r="Q50" s="3"/>
      <c r="R50" s="3"/>
      <c r="S50" s="3"/>
      <c r="T50" s="3"/>
      <c r="U50" s="3"/>
      <c r="V50" s="3"/>
      <c r="W50" s="3"/>
      <c r="X50" s="3"/>
      <c r="Y50" s="3"/>
      <c r="Z50" s="3"/>
      <c r="AA50" s="3"/>
      <c r="AB50" s="3"/>
    </row>
    <row r="51" spans="1:28" ht="16">
      <c r="A51" s="1356" t="s">
        <v>495</v>
      </c>
      <c r="B51" s="1361">
        <v>144</v>
      </c>
      <c r="C51" s="1348" t="s">
        <v>488</v>
      </c>
      <c r="D51" s="268"/>
      <c r="E51" s="3"/>
      <c r="F51" s="3"/>
      <c r="G51" s="3"/>
      <c r="H51" s="3"/>
      <c r="I51" s="3"/>
      <c r="J51" s="3"/>
      <c r="K51" s="3"/>
      <c r="L51" s="3"/>
      <c r="M51" s="3"/>
      <c r="N51" s="3"/>
      <c r="O51" s="3"/>
      <c r="P51" s="3"/>
      <c r="Q51" s="3"/>
      <c r="R51" s="3"/>
      <c r="S51" s="3"/>
      <c r="T51" s="3"/>
      <c r="U51" s="3"/>
      <c r="V51" s="3"/>
      <c r="W51" s="3"/>
      <c r="X51" s="3"/>
      <c r="Y51" s="3"/>
      <c r="Z51" s="3"/>
      <c r="AA51" s="3"/>
      <c r="AB51" s="3"/>
    </row>
    <row r="52" spans="1:28" ht="16">
      <c r="A52" s="1356" t="s">
        <v>496</v>
      </c>
      <c r="B52" s="1361">
        <v>144</v>
      </c>
      <c r="C52" s="1348" t="s">
        <v>488</v>
      </c>
      <c r="D52" s="6"/>
      <c r="E52" s="3"/>
      <c r="F52" s="3"/>
      <c r="G52" s="3"/>
      <c r="H52" s="3"/>
      <c r="I52" s="3"/>
      <c r="J52" s="3"/>
      <c r="K52" s="3"/>
      <c r="L52" s="3"/>
      <c r="M52" s="3"/>
      <c r="N52" s="3"/>
      <c r="O52" s="3"/>
      <c r="P52" s="3"/>
      <c r="Q52" s="3"/>
      <c r="R52" s="3"/>
      <c r="S52" s="3"/>
      <c r="T52" s="3"/>
      <c r="U52" s="3"/>
      <c r="V52" s="3"/>
      <c r="W52" s="3"/>
      <c r="X52" s="3"/>
      <c r="Y52" s="3"/>
      <c r="Z52" s="3"/>
      <c r="AA52" s="3"/>
      <c r="AB52" s="3"/>
    </row>
    <row r="53" spans="1:28" ht="17" thickBot="1">
      <c r="A53" s="1357" t="s">
        <v>497</v>
      </c>
      <c r="B53" s="1353">
        <v>1908</v>
      </c>
      <c r="C53" s="1358" t="s">
        <v>488</v>
      </c>
      <c r="D53" s="459"/>
      <c r="E53" s="3"/>
      <c r="F53" s="3"/>
      <c r="G53" s="3"/>
      <c r="H53" s="3"/>
      <c r="I53" s="3"/>
      <c r="J53" s="3"/>
      <c r="K53" s="3"/>
      <c r="L53" s="3"/>
      <c r="M53" s="3"/>
      <c r="N53" s="3"/>
      <c r="O53" s="3"/>
      <c r="P53" s="3"/>
      <c r="Q53" s="3"/>
      <c r="R53" s="3"/>
      <c r="S53" s="3"/>
      <c r="T53" s="3"/>
      <c r="U53" s="3"/>
      <c r="V53" s="3"/>
      <c r="W53" s="3"/>
      <c r="X53" s="3"/>
      <c r="Y53" s="3"/>
      <c r="Z53" s="3"/>
      <c r="AA53" s="3"/>
      <c r="AB53" s="3"/>
    </row>
    <row r="54" spans="1:28" ht="16">
      <c r="A54" s="3"/>
      <c r="B54" s="6"/>
      <c r="C54" s="6"/>
      <c r="D54" s="459"/>
      <c r="E54" s="3"/>
      <c r="F54" s="3"/>
      <c r="G54" s="3"/>
      <c r="H54" s="3"/>
      <c r="I54" s="3"/>
      <c r="J54" s="3"/>
      <c r="K54" s="3"/>
      <c r="L54" s="3"/>
      <c r="M54" s="3"/>
      <c r="N54" s="3"/>
      <c r="O54" s="3"/>
      <c r="P54" s="3"/>
      <c r="Q54" s="3"/>
      <c r="R54" s="3"/>
      <c r="S54" s="3"/>
      <c r="T54" s="3"/>
      <c r="U54" s="3"/>
      <c r="V54" s="3"/>
      <c r="W54" s="3"/>
      <c r="X54" s="3"/>
      <c r="Y54" s="3"/>
      <c r="Z54" s="3"/>
      <c r="AA54" s="3"/>
      <c r="AB54" s="3"/>
    </row>
    <row r="55" spans="1:28" ht="17" thickBot="1">
      <c r="A55" s="3"/>
      <c r="B55" s="6"/>
      <c r="C55" s="6"/>
      <c r="D55" s="459"/>
      <c r="E55" s="3"/>
      <c r="F55" s="3"/>
      <c r="G55" s="3"/>
      <c r="H55" s="3"/>
      <c r="I55" s="3"/>
      <c r="J55" s="3"/>
      <c r="K55" s="3"/>
      <c r="L55" s="3"/>
      <c r="M55" s="3"/>
      <c r="N55" s="3"/>
      <c r="O55" s="3"/>
      <c r="P55" s="3"/>
      <c r="Q55" s="3"/>
      <c r="R55" s="3"/>
      <c r="S55" s="3"/>
      <c r="T55" s="3"/>
      <c r="U55" s="3"/>
      <c r="V55" s="3"/>
      <c r="W55" s="3"/>
      <c r="X55" s="3"/>
      <c r="Y55" s="3"/>
      <c r="Z55" s="3"/>
      <c r="AA55" s="3"/>
      <c r="AB55" s="3"/>
    </row>
    <row r="56" spans="1:28" ht="18" thickTop="1" thickBot="1">
      <c r="A56" s="1354" t="s">
        <v>498</v>
      </c>
      <c r="B56" s="1343"/>
      <c r="C56" s="1344"/>
      <c r="D56" s="6"/>
      <c r="E56" s="3"/>
      <c r="F56" s="570"/>
      <c r="G56" s="3"/>
      <c r="H56" s="3"/>
      <c r="I56" s="3"/>
      <c r="J56" s="3"/>
      <c r="K56" s="3"/>
      <c r="L56" s="3"/>
      <c r="M56" s="3"/>
      <c r="N56" s="3"/>
      <c r="O56" s="3"/>
      <c r="P56" s="3"/>
      <c r="Q56" s="3"/>
      <c r="R56" s="3"/>
      <c r="S56" s="3"/>
      <c r="T56" s="3"/>
      <c r="U56" s="3"/>
      <c r="V56" s="3"/>
      <c r="W56" s="3"/>
      <c r="X56" s="3"/>
      <c r="Y56" s="3"/>
      <c r="Z56" s="3"/>
      <c r="AA56" s="3"/>
      <c r="AB56" s="3"/>
    </row>
    <row r="57" spans="1:28" ht="16">
      <c r="A57" s="1355" t="s">
        <v>499</v>
      </c>
      <c r="B57" s="1375">
        <v>3</v>
      </c>
      <c r="C57" s="1346"/>
      <c r="D57" s="6"/>
      <c r="E57" s="3"/>
      <c r="F57" s="570"/>
      <c r="G57" s="3"/>
      <c r="H57" s="3"/>
      <c r="I57" s="3"/>
      <c r="J57" s="3"/>
      <c r="K57" s="3"/>
      <c r="L57" s="3"/>
      <c r="M57" s="3"/>
      <c r="N57" s="3"/>
      <c r="O57" s="3"/>
      <c r="P57" s="3"/>
      <c r="Q57" s="3"/>
      <c r="R57" s="3"/>
      <c r="S57" s="3"/>
      <c r="T57" s="3"/>
      <c r="U57" s="3"/>
      <c r="V57" s="3"/>
      <c r="W57" s="3"/>
      <c r="X57" s="3"/>
      <c r="Y57" s="3"/>
      <c r="Z57" s="3"/>
      <c r="AA57" s="3"/>
      <c r="AB57" s="3"/>
    </row>
    <row r="58" spans="1:28" ht="16">
      <c r="A58" s="1356" t="s">
        <v>500</v>
      </c>
      <c r="B58" s="1376" t="s">
        <v>501</v>
      </c>
      <c r="C58" s="1348" t="s">
        <v>502</v>
      </c>
      <c r="D58" s="6"/>
      <c r="E58" s="3"/>
      <c r="F58" s="3"/>
      <c r="G58" s="3"/>
      <c r="H58" s="3"/>
      <c r="I58" s="3"/>
      <c r="J58" s="3"/>
      <c r="K58" s="3"/>
      <c r="L58" s="3"/>
      <c r="M58" s="3"/>
      <c r="N58" s="3"/>
      <c r="O58" s="3"/>
      <c r="P58" s="3"/>
      <c r="Q58" s="3"/>
      <c r="R58" s="3"/>
      <c r="S58" s="3"/>
      <c r="T58" s="3"/>
      <c r="U58" s="3"/>
      <c r="V58" s="3"/>
      <c r="W58" s="3"/>
      <c r="X58" s="3"/>
      <c r="Y58" s="3"/>
      <c r="Z58" s="3"/>
      <c r="AA58" s="3"/>
      <c r="AB58" s="3"/>
    </row>
    <row r="59" spans="1:28" ht="16">
      <c r="A59" s="1356" t="s">
        <v>503</v>
      </c>
      <c r="B59" s="1377">
        <v>10</v>
      </c>
      <c r="C59" s="1378">
        <v>30</v>
      </c>
      <c r="D59" s="6"/>
      <c r="E59" s="3"/>
      <c r="F59" s="3"/>
      <c r="G59" s="3"/>
      <c r="H59" s="3"/>
      <c r="I59" s="3"/>
      <c r="J59" s="3"/>
      <c r="K59" s="3"/>
      <c r="L59" s="3"/>
      <c r="M59" s="3"/>
      <c r="N59" s="3"/>
      <c r="O59" s="3"/>
      <c r="P59" s="3"/>
      <c r="Q59" s="3"/>
      <c r="R59" s="3"/>
      <c r="S59" s="3"/>
      <c r="T59" s="3"/>
      <c r="U59" s="3"/>
      <c r="V59" s="3"/>
      <c r="W59" s="3"/>
      <c r="X59" s="3"/>
      <c r="Y59" s="3"/>
      <c r="Z59" s="3"/>
      <c r="AA59" s="3"/>
      <c r="AB59" s="3"/>
    </row>
    <row r="60" spans="1:28" ht="16">
      <c r="A60" s="1356" t="s">
        <v>504</v>
      </c>
      <c r="B60" s="1377">
        <v>30</v>
      </c>
      <c r="C60" s="1378">
        <v>40</v>
      </c>
      <c r="D60" s="6"/>
      <c r="E60" s="3"/>
      <c r="F60" s="3"/>
      <c r="G60" s="3"/>
      <c r="H60" s="3"/>
      <c r="I60" s="3"/>
      <c r="J60" s="3"/>
      <c r="K60" s="3"/>
      <c r="L60" s="3"/>
      <c r="M60" s="3"/>
      <c r="N60" s="3"/>
      <c r="O60" s="3"/>
      <c r="P60" s="3"/>
      <c r="Q60" s="3"/>
      <c r="R60" s="3"/>
      <c r="S60" s="3"/>
      <c r="T60" s="3"/>
      <c r="U60" s="3"/>
      <c r="V60" s="3"/>
      <c r="W60" s="3"/>
      <c r="X60" s="3"/>
      <c r="Y60" s="3"/>
      <c r="Z60" s="3"/>
      <c r="AA60" s="3"/>
      <c r="AB60" s="3"/>
    </row>
    <row r="61" spans="1:28" ht="16">
      <c r="A61" s="1356" t="s">
        <v>505</v>
      </c>
      <c r="B61" s="1376"/>
      <c r="C61" s="1378">
        <v>10</v>
      </c>
      <c r="D61" s="6"/>
      <c r="E61" s="3"/>
      <c r="F61" s="3"/>
      <c r="G61" s="3"/>
      <c r="H61" s="3"/>
      <c r="I61" s="3"/>
      <c r="J61" s="3"/>
      <c r="K61" s="3"/>
      <c r="L61" s="3"/>
      <c r="M61" s="3"/>
      <c r="N61" s="3"/>
      <c r="O61" s="3"/>
      <c r="P61" s="3"/>
      <c r="Q61" s="3"/>
      <c r="R61" s="3"/>
      <c r="S61" s="3"/>
      <c r="T61" s="3"/>
      <c r="U61" s="3"/>
      <c r="V61" s="3"/>
      <c r="W61" s="3"/>
      <c r="X61" s="3"/>
      <c r="Y61" s="3"/>
      <c r="Z61" s="3"/>
      <c r="AA61" s="3"/>
      <c r="AB61" s="3"/>
    </row>
    <row r="62" spans="1:28" ht="16">
      <c r="A62" s="1356" t="s">
        <v>506</v>
      </c>
      <c r="B62" s="1376" t="s">
        <v>507</v>
      </c>
      <c r="C62" s="1348"/>
      <c r="D62" s="6"/>
      <c r="E62" s="3"/>
      <c r="F62" s="3"/>
      <c r="G62" s="3"/>
      <c r="H62" s="3"/>
      <c r="I62" s="3"/>
      <c r="J62" s="3"/>
      <c r="K62" s="3"/>
      <c r="L62" s="3"/>
      <c r="M62" s="3"/>
      <c r="N62" s="3"/>
      <c r="O62" s="3"/>
      <c r="P62" s="3"/>
      <c r="Q62" s="3"/>
      <c r="R62" s="3"/>
      <c r="S62" s="3"/>
      <c r="T62" s="3"/>
      <c r="U62" s="3"/>
      <c r="V62" s="3"/>
      <c r="W62" s="3"/>
      <c r="X62" s="3"/>
      <c r="Y62" s="3"/>
      <c r="Z62" s="3"/>
      <c r="AA62" s="3"/>
      <c r="AB62" s="3"/>
    </row>
    <row r="63" spans="1:28" ht="16">
      <c r="A63" s="1356" t="s">
        <v>508</v>
      </c>
      <c r="B63" s="1379">
        <v>1.5</v>
      </c>
      <c r="C63" s="1348"/>
      <c r="D63" s="6"/>
      <c r="E63" s="3"/>
      <c r="F63" s="3"/>
      <c r="G63" s="3"/>
      <c r="H63" s="3"/>
      <c r="I63" s="3"/>
      <c r="J63" s="3"/>
      <c r="K63" s="3"/>
      <c r="L63" s="3"/>
      <c r="M63" s="3"/>
      <c r="N63" s="3"/>
      <c r="O63" s="3"/>
      <c r="P63" s="3"/>
      <c r="Q63" s="3"/>
      <c r="R63" s="3"/>
      <c r="S63" s="3"/>
      <c r="T63" s="3"/>
      <c r="U63" s="3"/>
      <c r="V63" s="3"/>
      <c r="W63" s="3"/>
      <c r="X63" s="3"/>
      <c r="Y63" s="3"/>
      <c r="Z63" s="3"/>
      <c r="AA63" s="3"/>
      <c r="AB63" s="3"/>
    </row>
    <row r="64" spans="1:28" ht="35" thickBot="1">
      <c r="A64" s="1374" t="s">
        <v>509</v>
      </c>
      <c r="B64" s="1380"/>
      <c r="C64" s="1350"/>
      <c r="D64" s="6"/>
      <c r="E64" s="3"/>
      <c r="F64" s="3"/>
      <c r="G64" s="3"/>
      <c r="H64" s="3"/>
      <c r="I64" s="3"/>
      <c r="J64" s="3"/>
      <c r="K64" s="3"/>
      <c r="L64" s="3"/>
      <c r="M64" s="3"/>
      <c r="N64" s="3"/>
      <c r="O64" s="3"/>
      <c r="P64" s="3"/>
      <c r="Q64" s="3"/>
      <c r="R64" s="3"/>
      <c r="S64" s="3"/>
      <c r="T64" s="3"/>
      <c r="U64" s="3"/>
      <c r="V64" s="3"/>
      <c r="W64" s="3"/>
      <c r="X64" s="3"/>
      <c r="Y64" s="3"/>
      <c r="Z64" s="3"/>
      <c r="AA64" s="3"/>
      <c r="AB64" s="3"/>
    </row>
    <row r="65" spans="1:28" ht="16">
      <c r="A65" s="3"/>
      <c r="B65" s="6"/>
      <c r="C65" s="6"/>
      <c r="D65" s="6"/>
      <c r="E65" s="3"/>
      <c r="F65" s="3"/>
      <c r="G65" s="3"/>
      <c r="H65" s="3"/>
      <c r="I65" s="3"/>
      <c r="J65" s="3"/>
      <c r="K65" s="3"/>
      <c r="L65" s="3"/>
      <c r="M65" s="3"/>
      <c r="N65" s="3"/>
      <c r="O65" s="3"/>
      <c r="P65" s="3"/>
      <c r="Q65" s="3"/>
      <c r="R65" s="3"/>
      <c r="S65" s="3"/>
      <c r="T65" s="3"/>
      <c r="U65" s="3"/>
      <c r="V65" s="3"/>
      <c r="W65" s="3"/>
      <c r="X65" s="3"/>
      <c r="Y65" s="3"/>
      <c r="Z65" s="3"/>
      <c r="AA65" s="3"/>
      <c r="AB65" s="3"/>
    </row>
    <row r="66" spans="1:28" ht="16">
      <c r="A66" s="3"/>
      <c r="B66" s="6"/>
      <c r="C66" s="6"/>
      <c r="D66" s="6"/>
      <c r="E66" s="3"/>
      <c r="F66" s="3"/>
      <c r="G66" s="3"/>
      <c r="H66" s="3"/>
      <c r="I66" s="3"/>
      <c r="J66" s="3"/>
      <c r="K66" s="3"/>
      <c r="L66" s="3"/>
      <c r="M66" s="3"/>
      <c r="N66" s="3"/>
      <c r="O66" s="3"/>
      <c r="P66" s="3"/>
      <c r="Q66" s="3"/>
      <c r="R66" s="3"/>
      <c r="S66" s="3"/>
      <c r="T66" s="3"/>
      <c r="U66" s="3"/>
      <c r="V66" s="3"/>
      <c r="W66" s="3"/>
      <c r="X66" s="3"/>
      <c r="Y66" s="3"/>
      <c r="Z66" s="3"/>
      <c r="AA66" s="3"/>
      <c r="AB66" s="3"/>
    </row>
    <row r="67" spans="1:28" ht="16">
      <c r="A67" s="2011" t="s">
        <v>510</v>
      </c>
      <c r="B67" s="2012"/>
      <c r="C67" s="2012"/>
      <c r="D67" s="2012"/>
      <c r="E67" s="2012"/>
      <c r="F67" s="1999"/>
      <c r="G67" s="3"/>
      <c r="H67" s="3"/>
      <c r="I67" s="3"/>
      <c r="J67" s="3"/>
      <c r="K67" s="3"/>
      <c r="L67" s="3"/>
      <c r="M67" s="3"/>
      <c r="N67" s="3"/>
      <c r="O67" s="3"/>
      <c r="P67" s="3"/>
      <c r="Q67" s="3"/>
      <c r="R67" s="3"/>
      <c r="S67" s="3"/>
      <c r="T67" s="3"/>
      <c r="U67" s="3"/>
      <c r="V67" s="3"/>
      <c r="W67" s="3"/>
      <c r="X67" s="3"/>
      <c r="Y67" s="3"/>
      <c r="Z67" s="3"/>
      <c r="AA67" s="3"/>
      <c r="AB67" s="3"/>
    </row>
    <row r="68" spans="1:28" ht="16">
      <c r="A68" s="253" t="s">
        <v>511</v>
      </c>
      <c r="B68" s="411" t="s">
        <v>512</v>
      </c>
      <c r="C68" s="253" t="s">
        <v>513</v>
      </c>
      <c r="D68" s="253" t="s">
        <v>514</v>
      </c>
      <c r="E68" s="382" t="s">
        <v>515</v>
      </c>
      <c r="F68" s="253" t="s">
        <v>516</v>
      </c>
      <c r="G68" s="3"/>
      <c r="H68" s="3"/>
      <c r="I68" s="3"/>
      <c r="J68" s="3"/>
      <c r="K68" s="3"/>
      <c r="L68" s="3"/>
      <c r="M68" s="3"/>
      <c r="N68" s="3"/>
      <c r="O68" s="3"/>
      <c r="P68" s="3"/>
      <c r="Q68" s="3"/>
      <c r="R68" s="3"/>
      <c r="S68" s="3"/>
      <c r="T68" s="3"/>
      <c r="U68" s="3"/>
      <c r="V68" s="3"/>
      <c r="W68" s="3"/>
      <c r="X68" s="3"/>
      <c r="Y68" s="3"/>
      <c r="Z68" s="3"/>
      <c r="AA68" s="3"/>
      <c r="AB68" s="3"/>
    </row>
    <row r="69" spans="1:28" ht="16">
      <c r="A69" s="571" t="s">
        <v>517</v>
      </c>
      <c r="B69" s="572" t="s">
        <v>518</v>
      </c>
      <c r="C69" s="1363">
        <v>1</v>
      </c>
      <c r="D69" s="1366">
        <v>1</v>
      </c>
      <c r="E69" s="1370">
        <v>23184</v>
      </c>
      <c r="F69" s="573">
        <f t="shared" ref="F69:F77" si="0">D69*E69</f>
        <v>23184</v>
      </c>
      <c r="G69" s="574"/>
      <c r="H69" s="132"/>
      <c r="J69" s="3"/>
      <c r="K69" s="3"/>
      <c r="L69" s="3"/>
      <c r="M69" s="3"/>
      <c r="N69" s="3"/>
      <c r="O69" s="3"/>
      <c r="P69" s="3"/>
      <c r="Q69" s="3"/>
      <c r="R69" s="3"/>
      <c r="S69" s="3"/>
      <c r="T69" s="3"/>
      <c r="U69" s="3"/>
      <c r="V69" s="3"/>
      <c r="W69" s="3"/>
      <c r="X69" s="3"/>
      <c r="Y69" s="3"/>
      <c r="Z69" s="3"/>
      <c r="AA69" s="3"/>
      <c r="AB69" s="3"/>
    </row>
    <row r="70" spans="1:28" ht="16">
      <c r="A70" s="575" t="s">
        <v>519</v>
      </c>
      <c r="B70" s="576" t="s">
        <v>520</v>
      </c>
      <c r="C70" s="1364">
        <v>0</v>
      </c>
      <c r="D70" s="1367">
        <v>4</v>
      </c>
      <c r="E70" s="1371">
        <v>2560</v>
      </c>
      <c r="F70" s="573">
        <f t="shared" si="0"/>
        <v>10240</v>
      </c>
      <c r="G70" s="574"/>
      <c r="H70" s="132"/>
      <c r="J70" s="3"/>
      <c r="K70" s="3"/>
      <c r="L70" s="3"/>
      <c r="M70" s="3"/>
      <c r="N70" s="3"/>
      <c r="O70" s="3"/>
      <c r="P70" s="3"/>
      <c r="Q70" s="3"/>
      <c r="R70" s="3"/>
      <c r="S70" s="3"/>
      <c r="T70" s="3"/>
      <c r="U70" s="3"/>
      <c r="V70" s="3"/>
      <c r="W70" s="3"/>
      <c r="X70" s="3"/>
      <c r="Y70" s="3"/>
      <c r="Z70" s="3"/>
      <c r="AA70" s="3"/>
      <c r="AB70" s="3"/>
    </row>
    <row r="71" spans="1:28" ht="16">
      <c r="A71" s="575" t="s">
        <v>521</v>
      </c>
      <c r="B71" s="576" t="s">
        <v>522</v>
      </c>
      <c r="C71" s="1364">
        <v>1</v>
      </c>
      <c r="D71" s="1367">
        <v>1</v>
      </c>
      <c r="E71" s="1372">
        <v>9650</v>
      </c>
      <c r="F71" s="573">
        <f t="shared" si="0"/>
        <v>9650</v>
      </c>
      <c r="G71" s="574"/>
      <c r="H71" s="132"/>
      <c r="I71" s="3"/>
      <c r="J71" s="3"/>
      <c r="K71" s="3"/>
      <c r="L71" s="3"/>
      <c r="M71" s="3"/>
      <c r="N71" s="3"/>
      <c r="O71" s="3"/>
      <c r="P71" s="3"/>
      <c r="Q71" s="3"/>
      <c r="R71" s="3"/>
      <c r="S71" s="3"/>
      <c r="T71" s="3"/>
      <c r="U71" s="3"/>
      <c r="V71" s="3"/>
      <c r="W71" s="3"/>
      <c r="X71" s="3"/>
      <c r="Y71" s="3"/>
      <c r="Z71" s="3"/>
      <c r="AA71" s="3"/>
      <c r="AB71" s="3"/>
    </row>
    <row r="72" spans="1:28" ht="16">
      <c r="A72" s="575" t="s">
        <v>523</v>
      </c>
      <c r="B72" s="576" t="s">
        <v>524</v>
      </c>
      <c r="C72" s="1364">
        <v>2</v>
      </c>
      <c r="D72" s="1368">
        <v>1</v>
      </c>
      <c r="E72" s="1372">
        <v>2750</v>
      </c>
      <c r="F72" s="573">
        <f t="shared" si="0"/>
        <v>2750</v>
      </c>
      <c r="G72" s="574"/>
      <c r="H72" s="132"/>
      <c r="I72" s="3"/>
      <c r="J72" s="3"/>
      <c r="K72" s="3"/>
      <c r="L72" s="3"/>
      <c r="M72" s="3"/>
      <c r="N72" s="3"/>
      <c r="O72" s="3"/>
      <c r="P72" s="3"/>
      <c r="Q72" s="3"/>
      <c r="R72" s="3"/>
      <c r="S72" s="3"/>
      <c r="T72" s="3"/>
      <c r="U72" s="3"/>
      <c r="V72" s="3"/>
      <c r="W72" s="3"/>
      <c r="X72" s="3"/>
      <c r="Y72" s="3"/>
      <c r="Z72" s="3"/>
      <c r="AA72" s="3"/>
      <c r="AB72" s="3"/>
    </row>
    <row r="73" spans="1:28" ht="16">
      <c r="A73" s="575" t="s">
        <v>525</v>
      </c>
      <c r="B73" s="576" t="s">
        <v>526</v>
      </c>
      <c r="C73" s="1364">
        <v>1</v>
      </c>
      <c r="D73" s="1368">
        <v>1</v>
      </c>
      <c r="E73" s="1372">
        <v>2194</v>
      </c>
      <c r="F73" s="573">
        <f t="shared" si="0"/>
        <v>2194</v>
      </c>
      <c r="G73" s="578"/>
      <c r="H73" s="132"/>
      <c r="I73" s="3"/>
      <c r="J73" s="3"/>
      <c r="K73" s="3"/>
      <c r="L73" s="3"/>
      <c r="M73" s="3"/>
      <c r="N73" s="3"/>
      <c r="O73" s="3"/>
      <c r="P73" s="3"/>
      <c r="Q73" s="3"/>
      <c r="R73" s="3"/>
      <c r="S73" s="3"/>
      <c r="T73" s="3"/>
      <c r="U73" s="3"/>
      <c r="V73" s="3"/>
      <c r="W73" s="3"/>
      <c r="X73" s="3"/>
      <c r="Y73" s="3"/>
      <c r="Z73" s="3"/>
      <c r="AA73" s="3"/>
      <c r="AB73" s="3"/>
    </row>
    <row r="74" spans="1:28" ht="16">
      <c r="A74" s="575" t="s">
        <v>527</v>
      </c>
      <c r="B74" s="576"/>
      <c r="C74" s="1364">
        <v>5</v>
      </c>
      <c r="D74" s="1368">
        <v>2</v>
      </c>
      <c r="E74" s="1372">
        <v>799</v>
      </c>
      <c r="F74" s="573">
        <f t="shared" si="0"/>
        <v>1598</v>
      </c>
      <c r="G74" s="579"/>
      <c r="H74" s="132"/>
      <c r="I74" s="3"/>
      <c r="J74" s="3"/>
      <c r="K74" s="3"/>
      <c r="L74" s="3"/>
      <c r="M74" s="3"/>
      <c r="N74" s="3"/>
      <c r="O74" s="3"/>
      <c r="P74" s="3"/>
      <c r="Q74" s="3"/>
      <c r="R74" s="3"/>
      <c r="S74" s="3"/>
      <c r="T74" s="3"/>
      <c r="U74" s="3"/>
      <c r="V74" s="3"/>
      <c r="W74" s="3"/>
      <c r="X74" s="3"/>
      <c r="Y74" s="3"/>
      <c r="Z74" s="3"/>
      <c r="AA74" s="3"/>
      <c r="AB74" s="3"/>
    </row>
    <row r="75" spans="1:28" ht="16">
      <c r="A75" s="575" t="s">
        <v>528</v>
      </c>
      <c r="B75" s="576" t="s">
        <v>529</v>
      </c>
      <c r="C75" s="1364">
        <v>2</v>
      </c>
      <c r="D75" s="1368">
        <v>1</v>
      </c>
      <c r="E75" s="1372">
        <v>14725</v>
      </c>
      <c r="F75" s="573">
        <f t="shared" si="0"/>
        <v>14725</v>
      </c>
      <c r="G75" s="574"/>
      <c r="H75" s="132"/>
      <c r="I75" s="580"/>
      <c r="J75" s="3"/>
      <c r="K75" s="3"/>
      <c r="L75" s="3"/>
      <c r="M75" s="3"/>
      <c r="N75" s="3"/>
      <c r="O75" s="3"/>
      <c r="P75" s="3"/>
      <c r="Q75" s="3"/>
      <c r="R75" s="3"/>
      <c r="S75" s="3"/>
      <c r="T75" s="3"/>
      <c r="U75" s="3"/>
      <c r="V75" s="3"/>
      <c r="W75" s="3"/>
      <c r="X75" s="3"/>
      <c r="Y75" s="3"/>
      <c r="Z75" s="3"/>
      <c r="AA75" s="3"/>
      <c r="AB75" s="3"/>
    </row>
    <row r="76" spans="1:28" ht="16">
      <c r="A76" s="575" t="s">
        <v>530</v>
      </c>
      <c r="B76" s="576" t="s">
        <v>531</v>
      </c>
      <c r="C76" s="1364">
        <v>0</v>
      </c>
      <c r="D76" s="1368">
        <v>2</v>
      </c>
      <c r="E76" s="1372">
        <v>3917.13</v>
      </c>
      <c r="F76" s="573">
        <f t="shared" si="0"/>
        <v>7834.26</v>
      </c>
      <c r="G76" s="581"/>
      <c r="H76" s="132"/>
      <c r="I76" s="582"/>
      <c r="J76" s="3"/>
      <c r="K76" s="3"/>
      <c r="L76" s="3"/>
      <c r="M76" s="3"/>
      <c r="N76" s="3"/>
      <c r="O76" s="3"/>
      <c r="P76" s="3"/>
      <c r="Q76" s="3"/>
      <c r="R76" s="3"/>
      <c r="S76" s="3"/>
      <c r="T76" s="3"/>
      <c r="U76" s="3"/>
      <c r="V76" s="3"/>
      <c r="W76" s="3"/>
      <c r="X76" s="3"/>
      <c r="Y76" s="3"/>
      <c r="Z76" s="3"/>
      <c r="AA76" s="3"/>
      <c r="AB76" s="3"/>
    </row>
    <row r="77" spans="1:28" ht="16">
      <c r="A77" s="583" t="s">
        <v>532</v>
      </c>
      <c r="B77" s="584"/>
      <c r="C77" s="1365">
        <v>0</v>
      </c>
      <c r="D77" s="1369">
        <v>6</v>
      </c>
      <c r="E77" s="1373">
        <v>518</v>
      </c>
      <c r="F77" s="573">
        <f t="shared" si="0"/>
        <v>3108</v>
      </c>
      <c r="G77" s="579"/>
      <c r="H77" s="132"/>
      <c r="I77" s="585"/>
      <c r="J77" s="3"/>
      <c r="K77" s="3"/>
      <c r="L77" s="3"/>
      <c r="M77" s="3"/>
      <c r="N77" s="3"/>
      <c r="O77" s="3"/>
      <c r="P77" s="3"/>
      <c r="Q77" s="3"/>
      <c r="R77" s="3"/>
      <c r="S77" s="3"/>
      <c r="T77" s="3"/>
      <c r="U77" s="3"/>
      <c r="V77" s="3"/>
      <c r="W77" s="3"/>
      <c r="X77" s="3"/>
      <c r="Y77" s="3"/>
      <c r="Z77" s="3"/>
      <c r="AA77" s="3"/>
      <c r="AB77" s="3"/>
    </row>
    <row r="78" spans="1:28" ht="16">
      <c r="A78" s="253" t="s">
        <v>250</v>
      </c>
      <c r="B78" s="586"/>
      <c r="C78" s="587"/>
      <c r="D78" s="588"/>
      <c r="E78" s="589"/>
      <c r="F78" s="590">
        <f>SUM(F69:F77)</f>
        <v>75283.259999999995</v>
      </c>
      <c r="G78" s="14"/>
      <c r="H78" s="14"/>
      <c r="I78" s="3"/>
      <c r="J78" s="3"/>
      <c r="K78" s="3"/>
      <c r="L78" s="3"/>
      <c r="M78" s="3"/>
      <c r="N78" s="3"/>
      <c r="O78" s="3"/>
      <c r="P78" s="3"/>
      <c r="Q78" s="3"/>
      <c r="R78" s="3"/>
      <c r="S78" s="3"/>
      <c r="T78" s="3"/>
      <c r="U78" s="3"/>
      <c r="V78" s="3"/>
      <c r="W78" s="3"/>
      <c r="X78" s="3"/>
      <c r="Y78" s="3"/>
      <c r="Z78" s="3"/>
      <c r="AA78" s="3"/>
      <c r="AB78" s="3"/>
    </row>
    <row r="79" spans="1:28" ht="18" thickTop="1" thickBot="1">
      <c r="A79" s="3"/>
      <c r="B79" s="6"/>
      <c r="C79" s="6"/>
      <c r="D79" s="6"/>
      <c r="E79" s="3"/>
      <c r="F79" s="3"/>
      <c r="G79" s="3"/>
      <c r="H79" s="3"/>
      <c r="I79" s="3"/>
      <c r="J79" s="3"/>
      <c r="K79" s="3"/>
      <c r="L79" s="3"/>
      <c r="M79" s="3"/>
      <c r="N79" s="3"/>
      <c r="O79" s="3"/>
      <c r="P79" s="3"/>
      <c r="Q79" s="3"/>
      <c r="R79" s="3"/>
      <c r="S79" s="3"/>
      <c r="T79" s="3"/>
      <c r="U79" s="3"/>
      <c r="V79" s="3"/>
      <c r="W79" s="3"/>
      <c r="X79" s="3"/>
      <c r="Y79" s="3"/>
      <c r="Z79" s="3"/>
      <c r="AA79" s="3"/>
      <c r="AB79" s="3"/>
    </row>
    <row r="80" spans="1:28" s="1793" customFormat="1" ht="16">
      <c r="A80" s="1881" t="s">
        <v>1141</v>
      </c>
      <c r="B80" s="1885">
        <v>0.75</v>
      </c>
      <c r="C80" s="674"/>
      <c r="D80" s="674"/>
      <c r="E80" s="1792"/>
      <c r="F80" s="1792"/>
      <c r="G80" s="1792"/>
      <c r="H80" s="1792"/>
      <c r="I80" s="1792"/>
      <c r="J80" s="1792"/>
      <c r="K80" s="1792"/>
      <c r="L80" s="1792"/>
      <c r="M80" s="1792"/>
      <c r="N80" s="1792"/>
      <c r="O80" s="1792"/>
      <c r="P80" s="1792"/>
      <c r="Q80" s="1792"/>
      <c r="R80" s="1792"/>
      <c r="S80" s="1792"/>
      <c r="T80" s="1792"/>
      <c r="U80" s="1792"/>
      <c r="V80" s="1792"/>
      <c r="W80" s="1792"/>
      <c r="X80" s="1792"/>
      <c r="Y80" s="1792"/>
      <c r="Z80" s="1792"/>
      <c r="AA80" s="1792"/>
      <c r="AB80" s="1792"/>
    </row>
    <row r="81" spans="1:28" s="1793" customFormat="1" ht="16">
      <c r="A81" s="1882" t="s">
        <v>1142</v>
      </c>
      <c r="B81" s="1886">
        <v>1</v>
      </c>
      <c r="C81" s="674"/>
      <c r="D81" s="674"/>
      <c r="E81" s="1792"/>
      <c r="F81" s="1792"/>
      <c r="G81" s="1792"/>
      <c r="H81" s="1792"/>
      <c r="I81" s="1792"/>
      <c r="J81" s="1792"/>
      <c r="K81" s="1792"/>
      <c r="L81" s="1792"/>
      <c r="M81" s="1792"/>
      <c r="N81" s="1792"/>
      <c r="O81" s="1792"/>
      <c r="P81" s="1792"/>
      <c r="Q81" s="1792"/>
      <c r="R81" s="1792"/>
      <c r="S81" s="1792"/>
      <c r="T81" s="1792"/>
      <c r="U81" s="1792"/>
      <c r="V81" s="1792"/>
      <c r="W81" s="1792"/>
      <c r="X81" s="1792"/>
      <c r="Y81" s="1792"/>
      <c r="Z81" s="1792"/>
      <c r="AA81" s="1792"/>
      <c r="AB81" s="1792"/>
    </row>
    <row r="82" spans="1:28" s="1793" customFormat="1" ht="16">
      <c r="A82" s="1882" t="s">
        <v>1143</v>
      </c>
      <c r="B82" s="1886">
        <v>0.15</v>
      </c>
      <c r="C82" s="674"/>
      <c r="D82" s="674"/>
      <c r="E82" s="1792"/>
      <c r="F82" s="1792"/>
      <c r="G82" s="1792"/>
      <c r="H82" s="1792"/>
      <c r="I82" s="1792"/>
      <c r="J82" s="1792"/>
      <c r="K82" s="1792"/>
      <c r="L82" s="1792"/>
      <c r="M82" s="1792"/>
      <c r="N82" s="1792"/>
      <c r="O82" s="1792"/>
      <c r="P82" s="1792"/>
      <c r="Q82" s="1792"/>
      <c r="R82" s="1792"/>
      <c r="S82" s="1792"/>
      <c r="T82" s="1792"/>
      <c r="U82" s="1792"/>
      <c r="V82" s="1792"/>
      <c r="W82" s="1792"/>
      <c r="X82" s="1792"/>
      <c r="Y82" s="1792"/>
      <c r="Z82" s="1792"/>
      <c r="AA82" s="1792"/>
      <c r="AB82" s="1792"/>
    </row>
    <row r="83" spans="1:28" ht="17" thickBot="1">
      <c r="A83" s="1883" t="s">
        <v>1144</v>
      </c>
      <c r="B83" s="1887">
        <v>0.1</v>
      </c>
      <c r="C83" s="6"/>
      <c r="D83" s="6"/>
      <c r="E83" s="3"/>
      <c r="F83" s="3"/>
      <c r="G83" s="3"/>
      <c r="H83" s="3"/>
      <c r="I83" s="3"/>
      <c r="J83" s="3"/>
      <c r="K83" s="3"/>
      <c r="L83" s="3"/>
      <c r="M83" s="3"/>
      <c r="N83" s="3"/>
      <c r="O83" s="3"/>
      <c r="P83" s="3"/>
      <c r="Q83" s="3"/>
      <c r="R83" s="3"/>
      <c r="S83" s="3"/>
      <c r="T83" s="3"/>
      <c r="U83" s="3"/>
      <c r="V83" s="3"/>
      <c r="W83" s="3"/>
      <c r="X83" s="3"/>
      <c r="Y83" s="3"/>
      <c r="Z83" s="3"/>
      <c r="AA83" s="3"/>
      <c r="AB83" s="3"/>
    </row>
    <row r="84" spans="1:28" ht="17" thickBot="1">
      <c r="A84" s="1884" t="s">
        <v>1145</v>
      </c>
      <c r="B84" s="1888">
        <f>SUM(B80:B83)</f>
        <v>2</v>
      </c>
      <c r="C84" s="6"/>
      <c r="D84" s="6"/>
      <c r="E84" s="3"/>
      <c r="F84" s="3"/>
      <c r="G84" s="3"/>
      <c r="H84" s="3"/>
      <c r="I84" s="3"/>
      <c r="J84" s="3"/>
      <c r="K84" s="3"/>
      <c r="L84" s="3"/>
      <c r="M84" s="3"/>
      <c r="N84" s="3"/>
      <c r="O84" s="3"/>
      <c r="P84" s="3"/>
      <c r="Q84" s="3"/>
      <c r="R84" s="3"/>
      <c r="S84" s="3"/>
      <c r="T84" s="3"/>
      <c r="U84" s="3"/>
      <c r="V84" s="3"/>
      <c r="W84" s="3"/>
      <c r="X84" s="3"/>
      <c r="Y84" s="3"/>
      <c r="Z84" s="3"/>
      <c r="AA84" s="3"/>
      <c r="AB84" s="3"/>
    </row>
    <row r="85" spans="1:28" ht="17" thickBot="1">
      <c r="A85" s="1884" t="s">
        <v>533</v>
      </c>
      <c r="B85" s="1880" t="s">
        <v>969</v>
      </c>
      <c r="C85" s="5"/>
      <c r="D85" s="5"/>
      <c r="F85" s="3"/>
      <c r="G85" s="3"/>
      <c r="H85" s="3"/>
      <c r="I85" s="3"/>
      <c r="J85" s="3"/>
      <c r="K85" s="3"/>
      <c r="L85" s="3"/>
      <c r="M85" s="3"/>
      <c r="N85" s="3"/>
      <c r="O85" s="3"/>
      <c r="P85" s="3"/>
      <c r="Q85" s="3"/>
      <c r="R85" s="3"/>
      <c r="S85" s="3"/>
      <c r="T85" s="3"/>
      <c r="U85" s="3"/>
      <c r="V85" s="3"/>
      <c r="W85" s="3"/>
      <c r="X85" s="3"/>
      <c r="Y85" s="3"/>
      <c r="Z85" s="3"/>
      <c r="AA85" s="3"/>
      <c r="AB85" s="3"/>
    </row>
    <row r="86" spans="1:28" ht="16">
      <c r="B86" s="5"/>
      <c r="C86" s="5"/>
      <c r="D86" s="5"/>
      <c r="F86" s="3"/>
      <c r="G86" s="3"/>
      <c r="H86" s="3"/>
      <c r="I86" s="3"/>
      <c r="J86" s="3"/>
      <c r="K86" s="3"/>
      <c r="L86" s="3"/>
      <c r="M86" s="3"/>
      <c r="N86" s="3"/>
      <c r="O86" s="3"/>
      <c r="P86" s="3"/>
      <c r="Q86" s="3"/>
      <c r="R86" s="3"/>
      <c r="S86" s="3"/>
      <c r="T86" s="3"/>
      <c r="U86" s="3"/>
      <c r="V86" s="3"/>
      <c r="W86" s="3"/>
      <c r="X86" s="3"/>
      <c r="Y86" s="3"/>
      <c r="Z86" s="3"/>
      <c r="AA86" s="3"/>
      <c r="AB86" s="3"/>
    </row>
    <row r="87" spans="1:28" ht="16">
      <c r="A87" s="591" t="s">
        <v>534</v>
      </c>
      <c r="B87" s="6"/>
      <c r="C87" s="6"/>
      <c r="D87" s="6"/>
      <c r="E87" s="3"/>
      <c r="F87" s="3"/>
      <c r="G87" s="3"/>
      <c r="H87" s="3"/>
      <c r="I87" s="3"/>
      <c r="J87" s="3"/>
      <c r="K87" s="3"/>
      <c r="L87" s="3"/>
      <c r="M87" s="3"/>
      <c r="N87" s="3"/>
      <c r="O87" s="3"/>
      <c r="P87" s="3"/>
      <c r="Q87" s="3"/>
      <c r="R87" s="3"/>
      <c r="S87" s="3"/>
      <c r="T87" s="3"/>
      <c r="U87" s="3"/>
      <c r="V87" s="3"/>
      <c r="W87" s="3"/>
      <c r="X87" s="3"/>
      <c r="Y87" s="3"/>
      <c r="Z87" s="3"/>
      <c r="AA87" s="3"/>
      <c r="AB87" s="3"/>
    </row>
    <row r="88" spans="1:28" ht="16">
      <c r="A88" s="3" t="s">
        <v>523</v>
      </c>
      <c r="B88" s="592" t="s">
        <v>535</v>
      </c>
      <c r="C88" s="6"/>
      <c r="D88" s="6"/>
      <c r="E88" s="3"/>
      <c r="F88" s="3"/>
      <c r="G88" s="3"/>
      <c r="H88" s="3"/>
      <c r="I88" s="3"/>
      <c r="J88" s="3"/>
      <c r="K88" s="3"/>
      <c r="L88" s="3"/>
      <c r="M88" s="3"/>
      <c r="N88" s="3"/>
      <c r="O88" s="3"/>
      <c r="P88" s="3"/>
      <c r="Q88" s="3"/>
      <c r="R88" s="3"/>
      <c r="S88" s="3"/>
      <c r="T88" s="3"/>
      <c r="U88" s="3"/>
      <c r="V88" s="3"/>
      <c r="W88" s="3"/>
      <c r="X88" s="3"/>
      <c r="Y88" s="3"/>
      <c r="Z88" s="3"/>
      <c r="AA88" s="3"/>
      <c r="AB88" s="3"/>
    </row>
    <row r="89" spans="1:28" ht="16">
      <c r="A89" s="14" t="s">
        <v>536</v>
      </c>
      <c r="B89" s="593" t="s">
        <v>537</v>
      </c>
      <c r="C89" s="6"/>
      <c r="D89" s="6"/>
      <c r="E89" s="3"/>
      <c r="F89" s="3"/>
      <c r="G89" s="3"/>
      <c r="H89" s="3"/>
      <c r="I89" s="3"/>
      <c r="J89" s="3"/>
      <c r="K89" s="3"/>
      <c r="L89" s="3"/>
      <c r="M89" s="3"/>
      <c r="N89" s="3"/>
      <c r="O89" s="3"/>
      <c r="P89" s="3"/>
      <c r="Q89" s="3"/>
      <c r="R89" s="3"/>
      <c r="S89" s="3"/>
      <c r="T89" s="3"/>
      <c r="U89" s="3"/>
      <c r="V89" s="3"/>
      <c r="W89" s="3"/>
      <c r="X89" s="3"/>
      <c r="Y89" s="3"/>
      <c r="Z89" s="3"/>
      <c r="AA89" s="3"/>
      <c r="AB89" s="3"/>
    </row>
    <row r="90" spans="1:28" ht="16">
      <c r="A90" s="14" t="s">
        <v>538</v>
      </c>
      <c r="B90" s="594" t="s">
        <v>539</v>
      </c>
      <c r="C90" s="6"/>
      <c r="D90" s="6"/>
      <c r="E90" s="3"/>
      <c r="F90" s="3"/>
      <c r="G90" s="3"/>
      <c r="H90" s="3"/>
      <c r="I90" s="3"/>
      <c r="J90" s="3"/>
      <c r="K90" s="3"/>
      <c r="L90" s="3"/>
      <c r="M90" s="3"/>
      <c r="N90" s="3"/>
      <c r="O90" s="3"/>
      <c r="P90" s="3"/>
      <c r="Q90" s="3"/>
      <c r="R90" s="3"/>
      <c r="S90" s="3"/>
      <c r="T90" s="3"/>
      <c r="U90" s="3"/>
      <c r="V90" s="3"/>
      <c r="W90" s="3"/>
      <c r="X90" s="3"/>
      <c r="Y90" s="3"/>
      <c r="Z90" s="3"/>
      <c r="AA90" s="3"/>
      <c r="AB90" s="3"/>
    </row>
    <row r="91" spans="1:28" ht="16">
      <c r="A91" s="14" t="s">
        <v>540</v>
      </c>
      <c r="B91" s="594" t="s">
        <v>541</v>
      </c>
      <c r="C91" s="6"/>
      <c r="D91" s="6"/>
      <c r="E91" s="3"/>
      <c r="F91" s="3"/>
      <c r="G91" s="3"/>
      <c r="H91" s="3"/>
      <c r="I91" s="3"/>
      <c r="J91" s="3"/>
      <c r="K91" s="3"/>
      <c r="L91" s="3"/>
      <c r="M91" s="3"/>
      <c r="N91" s="3"/>
      <c r="O91" s="3"/>
      <c r="P91" s="3"/>
      <c r="Q91" s="3"/>
      <c r="R91" s="3"/>
      <c r="S91" s="3"/>
      <c r="T91" s="3"/>
      <c r="U91" s="3"/>
      <c r="V91" s="3"/>
      <c r="W91" s="3"/>
      <c r="X91" s="3"/>
      <c r="Y91" s="3"/>
      <c r="Z91" s="3"/>
      <c r="AA91" s="3"/>
      <c r="AB91" s="3"/>
    </row>
    <row r="92" spans="1:28" ht="16">
      <c r="A92" s="3" t="s">
        <v>528</v>
      </c>
      <c r="B92" s="594" t="s">
        <v>542</v>
      </c>
      <c r="C92" s="6"/>
      <c r="D92" s="6"/>
      <c r="E92" s="3"/>
      <c r="F92" s="3"/>
      <c r="G92" s="3"/>
      <c r="H92" s="3"/>
      <c r="I92" s="3"/>
      <c r="J92" s="3"/>
      <c r="K92" s="3"/>
      <c r="L92" s="3"/>
      <c r="M92" s="3"/>
      <c r="N92" s="3"/>
      <c r="O92" s="3"/>
      <c r="P92" s="3"/>
      <c r="Q92" s="3"/>
      <c r="R92" s="3"/>
      <c r="S92" s="3"/>
      <c r="T92" s="3"/>
      <c r="U92" s="3"/>
      <c r="V92" s="3"/>
      <c r="W92" s="3"/>
      <c r="X92" s="3"/>
      <c r="Y92" s="3"/>
      <c r="Z92" s="3"/>
      <c r="AA92" s="3"/>
      <c r="AB92" s="3"/>
    </row>
    <row r="93" spans="1:28" ht="16">
      <c r="A93" s="3" t="s">
        <v>530</v>
      </c>
      <c r="B93" s="595" t="s">
        <v>543</v>
      </c>
      <c r="C93" s="6"/>
      <c r="D93" s="6"/>
      <c r="E93" s="3"/>
      <c r="F93" s="3"/>
      <c r="G93" s="3"/>
      <c r="H93" s="3"/>
      <c r="I93" s="3"/>
      <c r="J93" s="3"/>
      <c r="K93" s="3"/>
      <c r="L93" s="3"/>
      <c r="M93" s="3"/>
      <c r="N93" s="3"/>
      <c r="O93" s="3"/>
      <c r="P93" s="3"/>
      <c r="Q93" s="3"/>
      <c r="R93" s="3"/>
      <c r="S93" s="3"/>
      <c r="T93" s="3"/>
      <c r="U93" s="3"/>
      <c r="V93" s="3"/>
      <c r="W93" s="3"/>
      <c r="X93" s="3"/>
      <c r="Y93" s="3"/>
      <c r="Z93" s="3"/>
      <c r="AA93" s="3"/>
      <c r="AB93" s="3"/>
    </row>
    <row r="94" spans="1:28" ht="16">
      <c r="A94" s="3" t="s">
        <v>517</v>
      </c>
      <c r="B94" s="596" t="s">
        <v>544</v>
      </c>
      <c r="C94" s="6"/>
      <c r="D94" s="6"/>
      <c r="E94" s="3"/>
      <c r="F94" s="3"/>
      <c r="G94" s="3"/>
      <c r="H94" s="3"/>
      <c r="I94" s="3"/>
      <c r="J94" s="3"/>
      <c r="K94" s="3"/>
      <c r="L94" s="3"/>
      <c r="M94" s="3"/>
      <c r="N94" s="3"/>
      <c r="O94" s="3"/>
      <c r="P94" s="3"/>
      <c r="Q94" s="3"/>
      <c r="R94" s="3"/>
      <c r="S94" s="3"/>
      <c r="T94" s="3"/>
      <c r="U94" s="3"/>
      <c r="V94" s="3"/>
      <c r="W94" s="3"/>
      <c r="X94" s="3"/>
      <c r="Y94" s="3"/>
      <c r="Z94" s="3"/>
      <c r="AA94" s="3"/>
      <c r="AB94" s="3"/>
    </row>
    <row r="95" spans="1:28" ht="16">
      <c r="A95" s="3" t="s">
        <v>519</v>
      </c>
      <c r="B95" s="594" t="s">
        <v>545</v>
      </c>
      <c r="C95" s="6"/>
      <c r="D95" s="6"/>
      <c r="E95" s="3"/>
      <c r="F95" s="3"/>
      <c r="G95" s="3"/>
      <c r="H95" s="3"/>
      <c r="I95" s="3"/>
      <c r="J95" s="3"/>
      <c r="K95" s="3"/>
      <c r="L95" s="3"/>
      <c r="M95" s="3"/>
      <c r="N95" s="3"/>
      <c r="O95" s="3"/>
      <c r="P95" s="3"/>
      <c r="Q95" s="3"/>
      <c r="R95" s="3"/>
      <c r="S95" s="3"/>
      <c r="T95" s="3"/>
      <c r="U95" s="3"/>
      <c r="V95" s="3"/>
      <c r="W95" s="3"/>
      <c r="X95" s="3"/>
      <c r="Y95" s="3"/>
      <c r="Z95" s="3"/>
      <c r="AA95" s="3"/>
      <c r="AB95" s="3"/>
    </row>
    <row r="96" spans="1:28" ht="16">
      <c r="A96" s="3" t="s">
        <v>521</v>
      </c>
      <c r="B96" s="594" t="s">
        <v>546</v>
      </c>
      <c r="C96" s="6"/>
      <c r="D96" s="6"/>
      <c r="E96" s="3"/>
      <c r="F96" s="3"/>
      <c r="G96" s="3"/>
      <c r="H96" s="3"/>
      <c r="I96" s="3"/>
      <c r="J96" s="3"/>
      <c r="K96" s="3"/>
      <c r="L96" s="3"/>
      <c r="M96" s="3"/>
      <c r="N96" s="3"/>
      <c r="O96" s="3"/>
      <c r="P96" s="3"/>
      <c r="Q96" s="3"/>
      <c r="R96" s="3"/>
      <c r="S96" s="3"/>
      <c r="T96" s="3"/>
      <c r="U96" s="3"/>
      <c r="V96" s="3"/>
      <c r="W96" s="3"/>
      <c r="X96" s="3"/>
      <c r="Y96" s="3"/>
      <c r="Z96" s="3"/>
      <c r="AA96" s="3"/>
      <c r="AB96" s="3"/>
    </row>
    <row r="97" spans="1:28" ht="16">
      <c r="A97" s="3" t="s">
        <v>523</v>
      </c>
      <c r="B97" s="595" t="s">
        <v>535</v>
      </c>
      <c r="C97" s="6"/>
      <c r="D97" s="6"/>
      <c r="E97" s="3"/>
      <c r="F97" s="3"/>
      <c r="G97" s="3"/>
      <c r="H97" s="3"/>
      <c r="I97" s="3"/>
      <c r="J97" s="3"/>
      <c r="K97" s="3"/>
      <c r="L97" s="3"/>
      <c r="M97" s="3"/>
      <c r="N97" s="3"/>
      <c r="O97" s="3"/>
      <c r="P97" s="3"/>
      <c r="Q97" s="3"/>
      <c r="R97" s="3"/>
      <c r="S97" s="3"/>
      <c r="T97" s="3"/>
      <c r="U97" s="3"/>
      <c r="V97" s="3"/>
      <c r="W97" s="3"/>
      <c r="X97" s="3"/>
      <c r="Y97" s="3"/>
      <c r="Z97" s="3"/>
      <c r="AA97" s="3"/>
      <c r="AB97" s="3"/>
    </row>
    <row r="98" spans="1:28" ht="16">
      <c r="A98" s="3" t="s">
        <v>525</v>
      </c>
      <c r="B98" s="595" t="s">
        <v>539</v>
      </c>
      <c r="C98" s="6"/>
      <c r="D98" s="6"/>
      <c r="E98" s="3"/>
      <c r="F98" s="3"/>
      <c r="G98" s="3"/>
      <c r="H98" s="3"/>
      <c r="I98" s="3"/>
      <c r="J98" s="3"/>
      <c r="K98" s="3"/>
      <c r="L98" s="3"/>
      <c r="M98" s="3"/>
      <c r="N98" s="3"/>
      <c r="O98" s="3"/>
      <c r="P98" s="3"/>
      <c r="Q98" s="3"/>
      <c r="R98" s="3"/>
      <c r="S98" s="3"/>
      <c r="T98" s="3"/>
      <c r="U98" s="3"/>
      <c r="V98" s="3"/>
      <c r="W98" s="3"/>
      <c r="X98" s="3"/>
      <c r="Y98" s="3"/>
      <c r="Z98" s="3"/>
      <c r="AA98" s="3"/>
      <c r="AB98" s="3"/>
    </row>
    <row r="99" spans="1:28" ht="16">
      <c r="A99" s="3" t="s">
        <v>527</v>
      </c>
      <c r="B99" s="594" t="s">
        <v>541</v>
      </c>
      <c r="C99" s="6"/>
      <c r="D99" s="6"/>
      <c r="E99" s="3"/>
      <c r="F99" s="3"/>
      <c r="G99" s="3"/>
      <c r="H99" s="3"/>
      <c r="I99" s="3"/>
      <c r="J99" s="3"/>
      <c r="K99" s="3"/>
      <c r="L99" s="3"/>
      <c r="M99" s="3"/>
      <c r="N99" s="3"/>
      <c r="O99" s="3"/>
      <c r="P99" s="3"/>
      <c r="Q99" s="3"/>
      <c r="R99" s="3"/>
      <c r="S99" s="3"/>
      <c r="T99" s="3"/>
      <c r="U99" s="3"/>
      <c r="V99" s="3"/>
      <c r="W99" s="3"/>
      <c r="X99" s="3"/>
      <c r="Y99" s="3"/>
      <c r="Z99" s="3"/>
      <c r="AA99" s="3"/>
      <c r="AB99" s="3"/>
    </row>
    <row r="100" spans="1:28" ht="16">
      <c r="A100" s="3" t="s">
        <v>528</v>
      </c>
      <c r="B100" s="594" t="s">
        <v>542</v>
      </c>
      <c r="C100" s="6"/>
      <c r="D100" s="6"/>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6">
      <c r="A101" s="3" t="s">
        <v>530</v>
      </c>
      <c r="B101" s="595" t="s">
        <v>543</v>
      </c>
      <c r="C101" s="6"/>
      <c r="D101" s="6"/>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6">
      <c r="A102" s="3" t="s">
        <v>547</v>
      </c>
      <c r="B102" s="592" t="s">
        <v>544</v>
      </c>
      <c r="C102" s="6"/>
      <c r="D102" s="6"/>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6">
      <c r="A103" s="3" t="s">
        <v>519</v>
      </c>
      <c r="B103" s="592" t="s">
        <v>545</v>
      </c>
      <c r="C103" s="6"/>
      <c r="D103" s="6"/>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6">
      <c r="A104" s="3" t="s">
        <v>521</v>
      </c>
      <c r="B104" s="592" t="s">
        <v>546</v>
      </c>
      <c r="C104" s="6"/>
      <c r="D104" s="6"/>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6">
      <c r="A105" s="14" t="s">
        <v>448</v>
      </c>
      <c r="B105" s="594" t="s">
        <v>548</v>
      </c>
      <c r="C105" s="6"/>
      <c r="D105" s="6"/>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6">
      <c r="A106" s="14" t="s">
        <v>549</v>
      </c>
      <c r="B106" s="595" t="s">
        <v>550</v>
      </c>
      <c r="C106" s="597" t="s">
        <v>551</v>
      </c>
      <c r="D106" s="6"/>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6">
      <c r="A107" s="14" t="s">
        <v>487</v>
      </c>
      <c r="B107" s="594" t="s">
        <v>552</v>
      </c>
      <c r="C107" s="6"/>
      <c r="D107" s="6"/>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6">
      <c r="A108" s="14" t="s">
        <v>553</v>
      </c>
      <c r="B108" s="594" t="s">
        <v>554</v>
      </c>
      <c r="C108" s="6"/>
      <c r="D108" s="6"/>
      <c r="E108" s="3"/>
      <c r="G108" s="3"/>
      <c r="H108" s="3"/>
      <c r="I108" s="3"/>
      <c r="J108" s="3"/>
      <c r="K108" s="3"/>
      <c r="L108" s="3"/>
      <c r="M108" s="3"/>
      <c r="N108" s="3"/>
      <c r="O108" s="3"/>
      <c r="P108" s="3"/>
      <c r="Q108" s="3"/>
      <c r="R108" s="3"/>
      <c r="S108" s="3"/>
      <c r="T108" s="3"/>
      <c r="U108" s="3"/>
      <c r="V108" s="3"/>
      <c r="W108" s="3"/>
      <c r="X108" s="3"/>
      <c r="Y108" s="3"/>
      <c r="Z108" s="3"/>
      <c r="AA108" s="3"/>
      <c r="AB108" s="3"/>
    </row>
    <row r="109" spans="1:28" ht="16">
      <c r="A109" s="14" t="s">
        <v>555</v>
      </c>
      <c r="B109" s="594" t="s">
        <v>556</v>
      </c>
      <c r="C109" s="6"/>
      <c r="D109" s="6"/>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6">
      <c r="A110" s="14" t="s">
        <v>557</v>
      </c>
      <c r="B110" s="594" t="s">
        <v>558</v>
      </c>
      <c r="C110" s="6"/>
      <c r="D110" s="6"/>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6">
      <c r="A111" s="3"/>
      <c r="B111" s="598" t="s">
        <v>559</v>
      </c>
      <c r="C111" s="6"/>
      <c r="D111" s="6"/>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6">
      <c r="A112" s="574" t="s">
        <v>560</v>
      </c>
      <c r="B112" s="594" t="s">
        <v>561</v>
      </c>
      <c r="C112" s="599"/>
      <c r="D112" s="597" t="s">
        <v>562</v>
      </c>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6">
      <c r="A113" s="14" t="s">
        <v>563</v>
      </c>
      <c r="B113" s="594" t="s">
        <v>564</v>
      </c>
      <c r="C113" s="6"/>
      <c r="D113" s="6"/>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6">
      <c r="A114" s="583" t="s">
        <v>532</v>
      </c>
      <c r="B114" s="600" t="s">
        <v>565</v>
      </c>
      <c r="C114" s="6"/>
      <c r="D114" s="6"/>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6">
      <c r="A115" s="3"/>
      <c r="B115" s="6"/>
      <c r="C115" s="6"/>
      <c r="D115" s="6"/>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6">
      <c r="A116" s="3"/>
      <c r="B116" s="6"/>
      <c r="C116" s="6"/>
      <c r="D116" s="6"/>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6">
      <c r="A117" s="3"/>
      <c r="B117" s="6"/>
      <c r="C117" s="6"/>
      <c r="D117" s="6"/>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6">
      <c r="A118" s="3"/>
      <c r="B118" s="6"/>
      <c r="C118" s="6"/>
      <c r="D118" s="6"/>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6">
      <c r="A119" s="3"/>
      <c r="B119" s="6"/>
      <c r="C119" s="6"/>
      <c r="D119" s="6"/>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6">
      <c r="A120" s="3"/>
      <c r="B120" s="6"/>
      <c r="C120" s="6"/>
      <c r="D120" s="6"/>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6">
      <c r="A121" s="3"/>
      <c r="B121" s="6"/>
      <c r="C121" s="6"/>
      <c r="D121" s="6"/>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6">
      <c r="A122" s="3"/>
      <c r="B122" s="6"/>
      <c r="C122" s="6"/>
      <c r="D122" s="6"/>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6">
      <c r="A123" s="3"/>
      <c r="B123" s="6"/>
      <c r="C123" s="6"/>
      <c r="D123" s="6"/>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6">
      <c r="A124" s="3"/>
      <c r="B124" s="6"/>
      <c r="C124" s="6"/>
      <c r="D124" s="6"/>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6">
      <c r="A125" s="3"/>
      <c r="B125" s="6"/>
      <c r="C125" s="6"/>
      <c r="D125" s="6"/>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6">
      <c r="A126" s="3"/>
      <c r="B126" s="6"/>
      <c r="C126" s="6"/>
      <c r="D126" s="6"/>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6">
      <c r="A127" s="3"/>
      <c r="B127" s="6"/>
      <c r="C127" s="6"/>
      <c r="D127" s="6"/>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6">
      <c r="A128" s="3"/>
      <c r="B128" s="6"/>
      <c r="C128" s="6"/>
      <c r="D128" s="6"/>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6">
      <c r="A129" s="3"/>
      <c r="B129" s="6"/>
      <c r="C129" s="6"/>
      <c r="D129" s="6"/>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6">
      <c r="A130" s="3"/>
      <c r="B130" s="6"/>
      <c r="C130" s="6"/>
      <c r="D130" s="6"/>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6">
      <c r="A131" s="3"/>
      <c r="B131" s="6"/>
      <c r="C131" s="6"/>
      <c r="D131" s="6"/>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6">
      <c r="A132" s="3"/>
      <c r="B132" s="6"/>
      <c r="C132" s="6"/>
      <c r="D132" s="6"/>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6">
      <c r="A133" s="3"/>
      <c r="B133" s="6"/>
      <c r="C133" s="6"/>
      <c r="D133" s="6"/>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6">
      <c r="A134" s="3"/>
      <c r="B134" s="6"/>
      <c r="C134" s="6"/>
      <c r="D134" s="6"/>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6">
      <c r="A135" s="3"/>
      <c r="B135" s="6"/>
      <c r="C135" s="6"/>
      <c r="D135" s="6"/>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6">
      <c r="A136" s="3"/>
      <c r="B136" s="6"/>
      <c r="C136" s="6"/>
      <c r="D136" s="6"/>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6">
      <c r="A137" s="3"/>
      <c r="B137" s="6"/>
      <c r="C137" s="6"/>
      <c r="D137" s="6"/>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6">
      <c r="A138" s="3"/>
      <c r="B138" s="6"/>
      <c r="C138" s="6"/>
      <c r="D138" s="6"/>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6">
      <c r="A139" s="3"/>
      <c r="B139" s="6"/>
      <c r="C139" s="6"/>
      <c r="D139" s="6"/>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6">
      <c r="A140" s="3"/>
      <c r="B140" s="6"/>
      <c r="C140" s="6"/>
      <c r="D140" s="6"/>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6">
      <c r="A141" s="3"/>
      <c r="B141" s="6"/>
      <c r="C141" s="6"/>
      <c r="D141" s="6"/>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6">
      <c r="A142" s="3"/>
      <c r="B142" s="6"/>
      <c r="C142" s="6"/>
      <c r="D142" s="6"/>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6">
      <c r="A143" s="3"/>
      <c r="B143" s="6"/>
      <c r="C143" s="6"/>
      <c r="D143" s="6"/>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6">
      <c r="A144" s="3"/>
      <c r="B144" s="6"/>
      <c r="C144" s="6"/>
      <c r="D144" s="6"/>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6">
      <c r="A145" s="3"/>
      <c r="B145" s="6"/>
      <c r="C145" s="6"/>
      <c r="D145" s="6"/>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6">
      <c r="A146" s="3"/>
      <c r="B146" s="6"/>
      <c r="C146" s="6"/>
      <c r="D146" s="6"/>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6">
      <c r="A147" s="3"/>
      <c r="B147" s="6"/>
      <c r="C147" s="6"/>
      <c r="D147" s="6"/>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6">
      <c r="A148" s="3"/>
      <c r="B148" s="6"/>
      <c r="C148" s="6"/>
      <c r="D148" s="6"/>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6">
      <c r="A149" s="3"/>
      <c r="B149" s="6"/>
      <c r="C149" s="6"/>
      <c r="D149" s="6"/>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6">
      <c r="A150" s="3"/>
      <c r="B150" s="6"/>
      <c r="C150" s="6"/>
      <c r="D150" s="6"/>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6">
      <c r="A151" s="3"/>
      <c r="B151" s="6"/>
      <c r="C151" s="6"/>
      <c r="D151" s="6"/>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6">
      <c r="A152" s="3"/>
      <c r="B152" s="6"/>
      <c r="C152" s="6"/>
      <c r="D152" s="6"/>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6">
      <c r="A153" s="3"/>
      <c r="B153" s="6"/>
      <c r="C153" s="6"/>
      <c r="D153" s="6"/>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6">
      <c r="A154" s="3"/>
      <c r="B154" s="6"/>
      <c r="C154" s="6"/>
      <c r="D154" s="6"/>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6">
      <c r="A155" s="3"/>
      <c r="B155" s="6"/>
      <c r="C155" s="6"/>
      <c r="D155" s="6"/>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6">
      <c r="A156" s="3"/>
      <c r="B156" s="6"/>
      <c r="C156" s="6"/>
      <c r="D156" s="6"/>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6">
      <c r="A157" s="3"/>
      <c r="B157" s="6"/>
      <c r="C157" s="6"/>
      <c r="D157" s="6"/>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6">
      <c r="A158" s="3"/>
      <c r="B158" s="6"/>
      <c r="C158" s="6"/>
      <c r="D158" s="6"/>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6">
      <c r="A159" s="3"/>
      <c r="B159" s="6"/>
      <c r="C159" s="6"/>
      <c r="D159" s="6"/>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6">
      <c r="A160" s="3"/>
      <c r="B160" s="6"/>
      <c r="C160" s="6"/>
      <c r="D160" s="6"/>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6">
      <c r="A161" s="3"/>
      <c r="B161" s="6"/>
      <c r="C161" s="6"/>
      <c r="D161" s="6"/>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6">
      <c r="A162" s="3"/>
      <c r="B162" s="6"/>
      <c r="C162" s="6"/>
      <c r="D162" s="6"/>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6">
      <c r="A163" s="3"/>
      <c r="B163" s="6"/>
      <c r="C163" s="6"/>
      <c r="D163" s="6"/>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6">
      <c r="A164" s="3"/>
      <c r="B164" s="6"/>
      <c r="C164" s="6"/>
      <c r="D164" s="6"/>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6">
      <c r="A165" s="3"/>
      <c r="B165" s="6"/>
      <c r="C165" s="6"/>
      <c r="D165" s="6"/>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6">
      <c r="A166" s="3"/>
      <c r="B166" s="6"/>
      <c r="C166" s="6"/>
      <c r="D166" s="6"/>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6">
      <c r="A167" s="3"/>
      <c r="B167" s="6"/>
      <c r="C167" s="6"/>
      <c r="D167" s="6"/>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6">
      <c r="A168" s="3"/>
      <c r="B168" s="6"/>
      <c r="C168" s="6"/>
      <c r="D168" s="6"/>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6">
      <c r="A169" s="3"/>
      <c r="B169" s="6"/>
      <c r="C169" s="6"/>
      <c r="D169" s="6"/>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6">
      <c r="A170" s="3"/>
      <c r="B170" s="6"/>
      <c r="C170" s="6"/>
      <c r="D170" s="6"/>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6">
      <c r="A171" s="3"/>
      <c r="B171" s="6"/>
      <c r="C171" s="6"/>
      <c r="D171" s="6"/>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6">
      <c r="A172" s="3"/>
      <c r="B172" s="6"/>
      <c r="C172" s="6"/>
      <c r="D172" s="6"/>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6">
      <c r="A173" s="3"/>
      <c r="B173" s="6"/>
      <c r="C173" s="6"/>
      <c r="D173" s="6"/>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6">
      <c r="A174" s="3"/>
      <c r="B174" s="6"/>
      <c r="C174" s="6"/>
      <c r="D174" s="6"/>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6">
      <c r="A175" s="3"/>
      <c r="B175" s="6"/>
      <c r="C175" s="6"/>
      <c r="D175" s="6"/>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6">
      <c r="A176" s="3"/>
      <c r="B176" s="6"/>
      <c r="C176" s="6"/>
      <c r="D176" s="6"/>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6">
      <c r="A177" s="3"/>
      <c r="B177" s="6"/>
      <c r="C177" s="6"/>
      <c r="D177" s="6"/>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6">
      <c r="A178" s="3"/>
      <c r="B178" s="6"/>
      <c r="C178" s="6"/>
      <c r="D178" s="6"/>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6">
      <c r="A179" s="3"/>
      <c r="B179" s="6"/>
      <c r="C179" s="6"/>
      <c r="D179" s="6"/>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6">
      <c r="A180" s="3"/>
      <c r="B180" s="6"/>
      <c r="C180" s="6"/>
      <c r="D180" s="6"/>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6">
      <c r="A181" s="3"/>
      <c r="B181" s="6"/>
      <c r="C181" s="6"/>
      <c r="D181" s="6"/>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6">
      <c r="A182" s="3"/>
      <c r="B182" s="6"/>
      <c r="C182" s="6"/>
      <c r="D182" s="6"/>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6">
      <c r="A183" s="3"/>
      <c r="B183" s="6"/>
      <c r="C183" s="6"/>
      <c r="D183" s="6"/>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6">
      <c r="A184" s="3"/>
      <c r="B184" s="6"/>
      <c r="C184" s="6"/>
      <c r="D184" s="6"/>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6">
      <c r="A185" s="3"/>
      <c r="B185" s="6"/>
      <c r="C185" s="6"/>
      <c r="D185" s="6"/>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6">
      <c r="A186" s="3"/>
      <c r="B186" s="6"/>
      <c r="C186" s="6"/>
      <c r="D186" s="6"/>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6">
      <c r="A187" s="3"/>
      <c r="B187" s="6"/>
      <c r="C187" s="6"/>
      <c r="D187" s="6"/>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6">
      <c r="A188" s="3"/>
      <c r="B188" s="6"/>
      <c r="C188" s="6"/>
      <c r="D188" s="6"/>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6">
      <c r="A189" s="3"/>
      <c r="B189" s="6"/>
      <c r="C189" s="6"/>
      <c r="D189" s="6"/>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6">
      <c r="A190" s="3"/>
      <c r="B190" s="6"/>
      <c r="C190" s="6"/>
      <c r="D190" s="6"/>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6">
      <c r="A191" s="3"/>
      <c r="B191" s="6"/>
      <c r="C191" s="6"/>
      <c r="D191" s="6"/>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6">
      <c r="A192" s="3"/>
      <c r="B192" s="6"/>
      <c r="C192" s="6"/>
      <c r="D192" s="6"/>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6">
      <c r="A193" s="3"/>
      <c r="B193" s="6"/>
      <c r="C193" s="6"/>
      <c r="D193" s="6"/>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6">
      <c r="A194" s="3"/>
      <c r="B194" s="6"/>
      <c r="C194" s="6"/>
      <c r="D194" s="6"/>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6">
      <c r="A195" s="3"/>
      <c r="B195" s="6"/>
      <c r="C195" s="6"/>
      <c r="D195" s="6"/>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6">
      <c r="A196" s="3"/>
      <c r="B196" s="6"/>
      <c r="C196" s="6"/>
      <c r="D196" s="6"/>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6">
      <c r="A197" s="3"/>
      <c r="B197" s="6"/>
      <c r="C197" s="6"/>
      <c r="D197" s="6"/>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6">
      <c r="A198" s="3"/>
      <c r="B198" s="6"/>
      <c r="C198" s="6"/>
      <c r="D198" s="6"/>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6">
      <c r="A199" s="3"/>
      <c r="B199" s="6"/>
      <c r="C199" s="6"/>
      <c r="D199" s="6"/>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6">
      <c r="A200" s="3"/>
      <c r="B200" s="6"/>
      <c r="C200" s="6"/>
      <c r="D200" s="6"/>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6">
      <c r="A201" s="3"/>
      <c r="B201" s="6"/>
      <c r="C201" s="6"/>
      <c r="D201" s="6"/>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6">
      <c r="A202" s="3"/>
      <c r="B202" s="6"/>
      <c r="C202" s="6"/>
      <c r="D202" s="6"/>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6">
      <c r="A203" s="3"/>
      <c r="B203" s="6"/>
      <c r="C203" s="6"/>
      <c r="D203" s="6"/>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6">
      <c r="A204" s="3"/>
      <c r="B204" s="6"/>
      <c r="C204" s="6"/>
      <c r="D204" s="6"/>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6">
      <c r="A205" s="3"/>
      <c r="B205" s="6"/>
      <c r="C205" s="6"/>
      <c r="D205" s="6"/>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6">
      <c r="A206" s="3"/>
      <c r="B206" s="6"/>
      <c r="C206" s="6"/>
      <c r="D206" s="6"/>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6">
      <c r="A207" s="3"/>
      <c r="B207" s="6"/>
      <c r="C207" s="6"/>
      <c r="D207" s="6"/>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6">
      <c r="A208" s="3"/>
      <c r="B208" s="6"/>
      <c r="C208" s="6"/>
      <c r="D208" s="6"/>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6">
      <c r="A209" s="3"/>
      <c r="B209" s="6"/>
      <c r="C209" s="6"/>
      <c r="D209" s="6"/>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6">
      <c r="A210" s="3"/>
      <c r="B210" s="6"/>
      <c r="C210" s="6"/>
      <c r="D210" s="6"/>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6">
      <c r="A211" s="3"/>
      <c r="B211" s="6"/>
      <c r="C211" s="6"/>
      <c r="D211" s="6"/>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6">
      <c r="A212" s="3"/>
      <c r="B212" s="6"/>
      <c r="C212" s="6"/>
      <c r="D212" s="6"/>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6">
      <c r="A213" s="3"/>
      <c r="B213" s="6"/>
      <c r="C213" s="6"/>
      <c r="D213" s="6"/>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6">
      <c r="A214" s="3"/>
      <c r="B214" s="6"/>
      <c r="C214" s="6"/>
      <c r="D214" s="6"/>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6">
      <c r="A215" s="3"/>
      <c r="B215" s="6"/>
      <c r="C215" s="6"/>
      <c r="D215" s="6"/>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6">
      <c r="A216" s="3"/>
      <c r="B216" s="6"/>
      <c r="C216" s="6"/>
      <c r="D216" s="6"/>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6">
      <c r="A217" s="3"/>
      <c r="B217" s="6"/>
      <c r="C217" s="6"/>
      <c r="D217" s="6"/>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6">
      <c r="A218" s="3"/>
      <c r="B218" s="6"/>
      <c r="C218" s="6"/>
      <c r="D218" s="6"/>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6">
      <c r="A219" s="3"/>
      <c r="B219" s="6"/>
      <c r="C219" s="6"/>
      <c r="D219" s="6"/>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6">
      <c r="A220" s="3"/>
      <c r="B220" s="6"/>
      <c r="C220" s="6"/>
      <c r="D220" s="6"/>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6">
      <c r="A221" s="3"/>
      <c r="B221" s="6"/>
      <c r="C221" s="6"/>
      <c r="D221" s="6"/>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6">
      <c r="A222" s="3"/>
      <c r="B222" s="6"/>
      <c r="C222" s="6"/>
      <c r="D222" s="6"/>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6">
      <c r="A223" s="3"/>
      <c r="B223" s="6"/>
      <c r="C223" s="6"/>
      <c r="D223" s="6"/>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6">
      <c r="A224" s="3"/>
      <c r="B224" s="6"/>
      <c r="C224" s="6"/>
      <c r="D224" s="6"/>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6">
      <c r="A225" s="3"/>
      <c r="B225" s="6"/>
      <c r="C225" s="6"/>
      <c r="D225" s="6"/>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6">
      <c r="A226" s="3"/>
      <c r="B226" s="6"/>
      <c r="C226" s="6"/>
      <c r="D226" s="6"/>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6">
      <c r="A227" s="3"/>
      <c r="B227" s="6"/>
      <c r="C227" s="6"/>
      <c r="D227" s="6"/>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6">
      <c r="A228" s="3"/>
      <c r="B228" s="6"/>
      <c r="C228" s="6"/>
      <c r="D228" s="6"/>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6">
      <c r="A229" s="3"/>
      <c r="B229" s="6"/>
      <c r="C229" s="6"/>
      <c r="D229" s="6"/>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6">
      <c r="A230" s="3"/>
      <c r="B230" s="6"/>
      <c r="C230" s="6"/>
      <c r="D230" s="6"/>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6">
      <c r="A231" s="3"/>
      <c r="B231" s="6"/>
      <c r="C231" s="6"/>
      <c r="D231" s="6"/>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6">
      <c r="A232" s="3"/>
      <c r="B232" s="6"/>
      <c r="C232" s="6"/>
      <c r="D232" s="6"/>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6">
      <c r="A233" s="3"/>
      <c r="B233" s="6"/>
      <c r="C233" s="6"/>
      <c r="D233" s="6"/>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6">
      <c r="A234" s="3"/>
      <c r="B234" s="6"/>
      <c r="C234" s="6"/>
      <c r="D234" s="6"/>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6">
      <c r="A235" s="3"/>
      <c r="B235" s="6"/>
      <c r="C235" s="6"/>
      <c r="D235" s="6"/>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6">
      <c r="A236" s="3"/>
      <c r="B236" s="6"/>
      <c r="C236" s="6"/>
      <c r="D236" s="6"/>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6">
      <c r="A237" s="3"/>
      <c r="B237" s="6"/>
      <c r="C237" s="6"/>
      <c r="D237" s="6"/>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6">
      <c r="A238" s="3"/>
      <c r="B238" s="6"/>
      <c r="C238" s="6"/>
      <c r="D238" s="6"/>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6">
      <c r="A239" s="3"/>
      <c r="B239" s="6"/>
      <c r="C239" s="6"/>
      <c r="D239" s="6"/>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6">
      <c r="A240" s="3"/>
      <c r="B240" s="6"/>
      <c r="C240" s="6"/>
      <c r="D240" s="6"/>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6">
      <c r="A241" s="3"/>
      <c r="B241" s="6"/>
      <c r="C241" s="6"/>
      <c r="D241" s="6"/>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6">
      <c r="A242" s="3"/>
      <c r="B242" s="6"/>
      <c r="C242" s="6"/>
      <c r="D242" s="6"/>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6">
      <c r="A243" s="3"/>
      <c r="B243" s="6"/>
      <c r="C243" s="6"/>
      <c r="D243" s="6"/>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6">
      <c r="A244" s="3"/>
      <c r="B244" s="6"/>
      <c r="C244" s="6"/>
      <c r="D244" s="6"/>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6">
      <c r="A245" s="3"/>
      <c r="B245" s="6"/>
      <c r="C245" s="6"/>
      <c r="D245" s="6"/>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6">
      <c r="A246" s="3"/>
      <c r="B246" s="6"/>
      <c r="C246" s="6"/>
      <c r="D246" s="6"/>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6">
      <c r="A247" s="3"/>
      <c r="B247" s="6"/>
      <c r="C247" s="6"/>
      <c r="D247" s="6"/>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6">
      <c r="A248" s="3"/>
      <c r="B248" s="6"/>
      <c r="C248" s="6"/>
      <c r="D248" s="6"/>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6">
      <c r="A249" s="3"/>
      <c r="B249" s="6"/>
      <c r="C249" s="6"/>
      <c r="D249" s="6"/>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6">
      <c r="A250" s="3"/>
      <c r="B250" s="6"/>
      <c r="C250" s="6"/>
      <c r="D250" s="6"/>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6">
      <c r="A251" s="3"/>
      <c r="B251" s="6"/>
      <c r="C251" s="6"/>
      <c r="D251" s="6"/>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6">
      <c r="A252" s="3"/>
      <c r="B252" s="6"/>
      <c r="C252" s="6"/>
      <c r="D252" s="6"/>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6">
      <c r="A253" s="3"/>
      <c r="B253" s="6"/>
      <c r="C253" s="6"/>
      <c r="D253" s="6"/>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6">
      <c r="A254" s="3"/>
      <c r="B254" s="6"/>
      <c r="C254" s="6"/>
      <c r="D254" s="6"/>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6">
      <c r="A255" s="3"/>
      <c r="B255" s="6"/>
      <c r="C255" s="6"/>
      <c r="D255" s="6"/>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6">
      <c r="A256" s="3"/>
      <c r="B256" s="6"/>
      <c r="C256" s="6"/>
      <c r="D256" s="6"/>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6">
      <c r="A257" s="3"/>
      <c r="B257" s="6"/>
      <c r="C257" s="6"/>
      <c r="D257" s="6"/>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6">
      <c r="A258" s="3"/>
      <c r="B258" s="6"/>
      <c r="C258" s="6"/>
      <c r="D258" s="6"/>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6">
      <c r="A259" s="3"/>
      <c r="B259" s="6"/>
      <c r="C259" s="6"/>
      <c r="D259" s="6"/>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6">
      <c r="A260" s="3"/>
      <c r="B260" s="6"/>
      <c r="C260" s="6"/>
      <c r="D260" s="6"/>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6">
      <c r="A261" s="3"/>
      <c r="B261" s="6"/>
      <c r="C261" s="6"/>
      <c r="D261" s="6"/>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6">
      <c r="A262" s="3"/>
      <c r="B262" s="6"/>
      <c r="C262" s="6"/>
      <c r="D262" s="6"/>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6">
      <c r="A263" s="3"/>
      <c r="B263" s="6"/>
      <c r="C263" s="6"/>
      <c r="D263" s="6"/>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6">
      <c r="A264" s="3"/>
      <c r="B264" s="6"/>
      <c r="C264" s="6"/>
      <c r="D264" s="6"/>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6">
      <c r="A265" s="3"/>
      <c r="B265" s="6"/>
      <c r="C265" s="6"/>
      <c r="D265" s="6"/>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6">
      <c r="A266" s="3"/>
      <c r="B266" s="6"/>
      <c r="C266" s="6"/>
      <c r="D266" s="6"/>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6">
      <c r="A267" s="3"/>
      <c r="B267" s="6"/>
      <c r="C267" s="6"/>
      <c r="D267" s="6"/>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6">
      <c r="A268" s="3"/>
      <c r="B268" s="6"/>
      <c r="C268" s="6"/>
      <c r="D268" s="6"/>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6">
      <c r="A269" s="3"/>
      <c r="B269" s="6"/>
      <c r="C269" s="6"/>
      <c r="D269" s="6"/>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6">
      <c r="A270" s="3"/>
      <c r="B270" s="6"/>
      <c r="C270" s="6"/>
      <c r="D270" s="6"/>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6">
      <c r="A271" s="3"/>
      <c r="B271" s="6"/>
      <c r="C271" s="6"/>
      <c r="D271" s="6"/>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6">
      <c r="A272" s="3"/>
      <c r="B272" s="6"/>
      <c r="C272" s="6"/>
      <c r="D272" s="6"/>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6">
      <c r="A273" s="3"/>
      <c r="B273" s="6"/>
      <c r="C273" s="6"/>
      <c r="D273" s="6"/>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6">
      <c r="A274" s="3"/>
      <c r="B274" s="6"/>
      <c r="C274" s="6"/>
      <c r="D274" s="6"/>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6">
      <c r="A275" s="3"/>
      <c r="B275" s="6"/>
      <c r="C275" s="6"/>
      <c r="D275" s="6"/>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6">
      <c r="A276" s="3"/>
      <c r="B276" s="6"/>
      <c r="C276" s="6"/>
      <c r="D276" s="6"/>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6">
      <c r="A277" s="3"/>
      <c r="B277" s="6"/>
      <c r="C277" s="6"/>
      <c r="D277" s="6"/>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6">
      <c r="A278" s="3"/>
      <c r="B278" s="6"/>
      <c r="C278" s="6"/>
      <c r="D278" s="6"/>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6">
      <c r="A279" s="3"/>
      <c r="B279" s="6"/>
      <c r="C279" s="6"/>
      <c r="D279" s="6"/>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6">
      <c r="A280" s="3"/>
      <c r="B280" s="6"/>
      <c r="C280" s="6"/>
      <c r="D280" s="6"/>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6">
      <c r="A281" s="3"/>
      <c r="B281" s="6"/>
      <c r="C281" s="6"/>
      <c r="D281" s="6"/>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6">
      <c r="A282" s="3"/>
      <c r="B282" s="6"/>
      <c r="C282" s="6"/>
      <c r="D282" s="6"/>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6">
      <c r="A283" s="3"/>
      <c r="B283" s="6"/>
      <c r="C283" s="6"/>
      <c r="D283" s="6"/>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6">
      <c r="A284" s="3"/>
      <c r="B284" s="6"/>
      <c r="C284" s="6"/>
      <c r="D284" s="6"/>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6">
      <c r="A285" s="3"/>
      <c r="B285" s="6"/>
      <c r="C285" s="6"/>
      <c r="D285" s="6"/>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6">
      <c r="A286" s="3"/>
      <c r="B286" s="6"/>
      <c r="C286" s="6"/>
      <c r="D286" s="6"/>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6">
      <c r="A287" s="3"/>
      <c r="B287" s="6"/>
      <c r="C287" s="6"/>
      <c r="D287" s="6"/>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6">
      <c r="A288" s="3"/>
      <c r="B288" s="6"/>
      <c r="C288" s="6"/>
      <c r="D288" s="6"/>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6">
      <c r="A289" s="3"/>
      <c r="B289" s="6"/>
      <c r="C289" s="6"/>
      <c r="D289" s="6"/>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6">
      <c r="A290" s="3"/>
      <c r="B290" s="6"/>
      <c r="C290" s="6"/>
      <c r="D290" s="6"/>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6">
      <c r="A291" s="3"/>
      <c r="B291" s="6"/>
      <c r="C291" s="6"/>
      <c r="D291" s="6"/>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6">
      <c r="A292" s="3"/>
      <c r="B292" s="6"/>
      <c r="C292" s="6"/>
      <c r="D292" s="6"/>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6">
      <c r="A293" s="3"/>
      <c r="B293" s="6"/>
      <c r="C293" s="6"/>
      <c r="D293" s="6"/>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6">
      <c r="A294" s="3"/>
      <c r="B294" s="6"/>
      <c r="C294" s="6"/>
      <c r="D294" s="6"/>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6">
      <c r="A295" s="3"/>
      <c r="B295" s="6"/>
      <c r="C295" s="6"/>
      <c r="D295" s="6"/>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6">
      <c r="A296" s="3"/>
      <c r="B296" s="6"/>
      <c r="C296" s="6"/>
      <c r="D296" s="6"/>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6">
      <c r="A297" s="3"/>
      <c r="B297" s="6"/>
      <c r="C297" s="6"/>
      <c r="D297" s="6"/>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6">
      <c r="A298" s="3"/>
      <c r="B298" s="6"/>
      <c r="C298" s="6"/>
      <c r="D298" s="6"/>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6">
      <c r="A299" s="3"/>
      <c r="B299" s="6"/>
      <c r="C299" s="6"/>
      <c r="D299" s="6"/>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6">
      <c r="A300" s="3"/>
      <c r="B300" s="6"/>
      <c r="C300" s="6"/>
      <c r="D300" s="6"/>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6">
      <c r="A301" s="3"/>
      <c r="B301" s="6"/>
      <c r="C301" s="6"/>
      <c r="D301" s="6"/>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6">
      <c r="A302" s="3"/>
      <c r="B302" s="6"/>
      <c r="C302" s="6"/>
      <c r="D302" s="6"/>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6">
      <c r="A303" s="3"/>
      <c r="B303" s="6"/>
      <c r="C303" s="6"/>
      <c r="D303" s="6"/>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6">
      <c r="A304" s="3"/>
      <c r="B304" s="6"/>
      <c r="C304" s="6"/>
      <c r="D304" s="6"/>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6">
      <c r="A305" s="3"/>
      <c r="B305" s="6"/>
      <c r="C305" s="6"/>
      <c r="D305" s="6"/>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6">
      <c r="A306" s="3"/>
      <c r="B306" s="6"/>
      <c r="C306" s="6"/>
      <c r="D306" s="6"/>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6">
      <c r="A307" s="3"/>
      <c r="B307" s="6"/>
      <c r="C307" s="6"/>
      <c r="D307" s="6"/>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6">
      <c r="A308" s="3"/>
      <c r="B308" s="6"/>
      <c r="C308" s="6"/>
      <c r="D308" s="6"/>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6">
      <c r="A309" s="3"/>
      <c r="B309" s="6"/>
      <c r="C309" s="6"/>
      <c r="D309" s="6"/>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6">
      <c r="A310" s="3"/>
      <c r="B310" s="6"/>
      <c r="C310" s="6"/>
      <c r="D310" s="6"/>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6">
      <c r="A311" s="3"/>
      <c r="B311" s="6"/>
      <c r="C311" s="6"/>
      <c r="D311" s="6"/>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6">
      <c r="A312" s="3"/>
      <c r="B312" s="6"/>
      <c r="C312" s="6"/>
      <c r="D312" s="6"/>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6">
      <c r="A313" s="3"/>
      <c r="B313" s="6"/>
      <c r="C313" s="6"/>
      <c r="D313" s="6"/>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6">
      <c r="A314" s="3"/>
      <c r="B314" s="6"/>
      <c r="C314" s="6"/>
      <c r="D314" s="6"/>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6">
      <c r="A315" s="3"/>
      <c r="B315" s="6"/>
      <c r="C315" s="6"/>
      <c r="D315" s="6"/>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6">
      <c r="A316" s="3"/>
      <c r="B316" s="6"/>
      <c r="C316" s="6"/>
      <c r="D316" s="6"/>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6">
      <c r="A317" s="3"/>
      <c r="B317" s="6"/>
      <c r="C317" s="6"/>
      <c r="D317" s="6"/>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6">
      <c r="A318" s="3"/>
      <c r="B318" s="6"/>
      <c r="C318" s="6"/>
      <c r="D318" s="6"/>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6">
      <c r="A319" s="3"/>
      <c r="B319" s="6"/>
      <c r="C319" s="6"/>
      <c r="D319" s="6"/>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6">
      <c r="A320" s="3"/>
      <c r="B320" s="6"/>
      <c r="C320" s="6"/>
      <c r="D320" s="6"/>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6">
      <c r="A321" s="3"/>
      <c r="B321" s="6"/>
      <c r="C321" s="6"/>
      <c r="D321" s="6"/>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6">
      <c r="A322" s="3"/>
      <c r="B322" s="6"/>
      <c r="C322" s="6"/>
      <c r="D322" s="6"/>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6">
      <c r="A323" s="3"/>
      <c r="B323" s="6"/>
      <c r="C323" s="6"/>
      <c r="D323" s="6"/>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6">
      <c r="A324" s="3"/>
      <c r="B324" s="6"/>
      <c r="C324" s="6"/>
      <c r="D324" s="6"/>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6">
      <c r="A325" s="3"/>
      <c r="B325" s="6"/>
      <c r="C325" s="6"/>
      <c r="D325" s="6"/>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6">
      <c r="A326" s="3"/>
      <c r="B326" s="6"/>
      <c r="C326" s="6"/>
      <c r="D326" s="6"/>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6">
      <c r="A327" s="3"/>
      <c r="B327" s="6"/>
      <c r="C327" s="6"/>
      <c r="D327" s="6"/>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6">
      <c r="A328" s="3"/>
      <c r="B328" s="6"/>
      <c r="C328" s="6"/>
      <c r="D328" s="6"/>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6">
      <c r="A329" s="3"/>
      <c r="B329" s="6"/>
      <c r="C329" s="6"/>
      <c r="D329" s="6"/>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6">
      <c r="A330" s="3"/>
      <c r="B330" s="6"/>
      <c r="C330" s="6"/>
      <c r="D330" s="6"/>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6">
      <c r="A331" s="3"/>
      <c r="B331" s="6"/>
      <c r="C331" s="6"/>
      <c r="D331" s="6"/>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6">
      <c r="A332" s="3"/>
      <c r="B332" s="6"/>
      <c r="C332" s="6"/>
      <c r="D332" s="6"/>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6">
      <c r="A333" s="3"/>
      <c r="B333" s="6"/>
      <c r="C333" s="6"/>
      <c r="D333" s="6"/>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6">
      <c r="A334" s="3"/>
      <c r="B334" s="6"/>
      <c r="C334" s="6"/>
      <c r="D334" s="6"/>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6">
      <c r="A335" s="3"/>
      <c r="B335" s="6"/>
      <c r="C335" s="6"/>
      <c r="D335" s="6"/>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6">
      <c r="A336" s="3"/>
      <c r="B336" s="6"/>
      <c r="C336" s="6"/>
      <c r="D336" s="6"/>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6">
      <c r="A337" s="3"/>
      <c r="B337" s="6"/>
      <c r="C337" s="6"/>
      <c r="D337" s="6"/>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6">
      <c r="A338" s="3"/>
      <c r="B338" s="6"/>
      <c r="C338" s="6"/>
      <c r="D338" s="6"/>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6">
      <c r="A339" s="3"/>
      <c r="B339" s="6"/>
      <c r="C339" s="6"/>
      <c r="D339" s="6"/>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6">
      <c r="A340" s="3"/>
      <c r="B340" s="6"/>
      <c r="C340" s="6"/>
      <c r="D340" s="6"/>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6">
      <c r="A341" s="3"/>
      <c r="B341" s="6"/>
      <c r="C341" s="6"/>
      <c r="D341" s="6"/>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6">
      <c r="A342" s="3"/>
      <c r="B342" s="6"/>
      <c r="C342" s="6"/>
      <c r="D342" s="6"/>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6">
      <c r="A343" s="3"/>
      <c r="B343" s="6"/>
      <c r="C343" s="6"/>
      <c r="D343" s="6"/>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6">
      <c r="A344" s="3"/>
      <c r="B344" s="6"/>
      <c r="C344" s="6"/>
      <c r="D344" s="6"/>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6">
      <c r="A345" s="3"/>
      <c r="B345" s="6"/>
      <c r="C345" s="6"/>
      <c r="D345" s="6"/>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6">
      <c r="A346" s="3"/>
      <c r="B346" s="6"/>
      <c r="C346" s="6"/>
      <c r="D346" s="6"/>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6">
      <c r="A347" s="3"/>
      <c r="B347" s="6"/>
      <c r="C347" s="6"/>
      <c r="D347" s="6"/>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6">
      <c r="A348" s="3"/>
      <c r="B348" s="6"/>
      <c r="C348" s="6"/>
      <c r="D348" s="6"/>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6">
      <c r="A349" s="3"/>
      <c r="B349" s="6"/>
      <c r="C349" s="6"/>
      <c r="D349" s="6"/>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6">
      <c r="A350" s="3"/>
      <c r="B350" s="6"/>
      <c r="C350" s="6"/>
      <c r="D350" s="6"/>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6">
      <c r="A351" s="3"/>
      <c r="B351" s="6"/>
      <c r="C351" s="6"/>
      <c r="D351" s="6"/>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6">
      <c r="A352" s="3"/>
      <c r="B352" s="6"/>
      <c r="C352" s="6"/>
      <c r="D352" s="6"/>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6">
      <c r="A353" s="3"/>
      <c r="B353" s="6"/>
      <c r="C353" s="6"/>
      <c r="D353" s="6"/>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6">
      <c r="A354" s="3"/>
      <c r="B354" s="6"/>
      <c r="C354" s="6"/>
      <c r="D354" s="6"/>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6">
      <c r="A355" s="3"/>
      <c r="B355" s="6"/>
      <c r="C355" s="6"/>
      <c r="D355" s="6"/>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6">
      <c r="A356" s="3"/>
      <c r="B356" s="6"/>
      <c r="C356" s="6"/>
      <c r="D356" s="6"/>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6">
      <c r="A357" s="3"/>
      <c r="B357" s="6"/>
      <c r="C357" s="6"/>
      <c r="D357" s="6"/>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6">
      <c r="A358" s="3"/>
      <c r="B358" s="6"/>
      <c r="C358" s="6"/>
      <c r="D358" s="6"/>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6">
      <c r="A359" s="3"/>
      <c r="B359" s="6"/>
      <c r="C359" s="6"/>
      <c r="D359" s="6"/>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6">
      <c r="A360" s="3"/>
      <c r="B360" s="6"/>
      <c r="C360" s="6"/>
      <c r="D360" s="6"/>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6">
      <c r="A361" s="3"/>
      <c r="B361" s="6"/>
      <c r="C361" s="6"/>
      <c r="D361" s="6"/>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6">
      <c r="A362" s="3"/>
      <c r="B362" s="6"/>
      <c r="C362" s="6"/>
      <c r="D362" s="6"/>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6">
      <c r="A363" s="3"/>
      <c r="B363" s="6"/>
      <c r="C363" s="6"/>
      <c r="D363" s="6"/>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6">
      <c r="A364" s="3"/>
      <c r="B364" s="6"/>
      <c r="C364" s="6"/>
      <c r="D364" s="6"/>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6">
      <c r="A365" s="3"/>
      <c r="B365" s="6"/>
      <c r="C365" s="6"/>
      <c r="D365" s="6"/>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6">
      <c r="A366" s="3"/>
      <c r="B366" s="6"/>
      <c r="C366" s="6"/>
      <c r="D366" s="6"/>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6">
      <c r="A367" s="3"/>
      <c r="B367" s="6"/>
      <c r="C367" s="6"/>
      <c r="D367" s="6"/>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6">
      <c r="A368" s="3"/>
      <c r="B368" s="6"/>
      <c r="C368" s="6"/>
      <c r="D368" s="6"/>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6">
      <c r="A369" s="3"/>
      <c r="B369" s="6"/>
      <c r="C369" s="6"/>
      <c r="D369" s="6"/>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6">
      <c r="A370" s="3"/>
      <c r="B370" s="6"/>
      <c r="C370" s="6"/>
      <c r="D370" s="6"/>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6">
      <c r="A371" s="3"/>
      <c r="B371" s="6"/>
      <c r="C371" s="6"/>
      <c r="D371" s="6"/>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6">
      <c r="A372" s="3"/>
      <c r="B372" s="6"/>
      <c r="C372" s="6"/>
      <c r="D372" s="6"/>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6">
      <c r="A373" s="3"/>
      <c r="B373" s="6"/>
      <c r="C373" s="6"/>
      <c r="D373" s="6"/>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6">
      <c r="A374" s="3"/>
      <c r="B374" s="6"/>
      <c r="C374" s="6"/>
      <c r="D374" s="6"/>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6">
      <c r="A375" s="3"/>
      <c r="B375" s="6"/>
      <c r="C375" s="6"/>
      <c r="D375" s="6"/>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6">
      <c r="A376" s="3"/>
      <c r="B376" s="6"/>
      <c r="C376" s="6"/>
      <c r="D376" s="6"/>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6">
      <c r="A377" s="3"/>
      <c r="B377" s="6"/>
      <c r="C377" s="6"/>
      <c r="D377" s="6"/>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6">
      <c r="A378" s="3"/>
      <c r="B378" s="6"/>
      <c r="C378" s="6"/>
      <c r="D378" s="6"/>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6">
      <c r="A379" s="3"/>
      <c r="B379" s="6"/>
      <c r="C379" s="6"/>
      <c r="D379" s="6"/>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6">
      <c r="A380" s="3"/>
      <c r="B380" s="6"/>
      <c r="C380" s="6"/>
      <c r="D380" s="6"/>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6">
      <c r="A381" s="3"/>
      <c r="B381" s="6"/>
      <c r="C381" s="6"/>
      <c r="D381" s="6"/>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6">
      <c r="A382" s="3"/>
      <c r="B382" s="6"/>
      <c r="C382" s="6"/>
      <c r="D382" s="6"/>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6">
      <c r="A383" s="3"/>
      <c r="B383" s="6"/>
      <c r="C383" s="6"/>
      <c r="D383" s="6"/>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6">
      <c r="A384" s="3"/>
      <c r="B384" s="6"/>
      <c r="C384" s="6"/>
      <c r="D384" s="6"/>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6">
      <c r="A385" s="3"/>
      <c r="B385" s="6"/>
      <c r="C385" s="6"/>
      <c r="D385" s="6"/>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6">
      <c r="A386" s="3"/>
      <c r="B386" s="6"/>
      <c r="C386" s="6"/>
      <c r="D386" s="6"/>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6">
      <c r="A387" s="3"/>
      <c r="B387" s="6"/>
      <c r="C387" s="6"/>
      <c r="D387" s="6"/>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6">
      <c r="A388" s="3"/>
      <c r="B388" s="6"/>
      <c r="C388" s="6"/>
      <c r="D388" s="6"/>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6">
      <c r="A389" s="3"/>
      <c r="B389" s="6"/>
      <c r="C389" s="6"/>
      <c r="D389" s="6"/>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6">
      <c r="A390" s="3"/>
      <c r="B390" s="6"/>
      <c r="C390" s="6"/>
      <c r="D390" s="6"/>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6">
      <c r="A391" s="3"/>
      <c r="B391" s="6"/>
      <c r="C391" s="6"/>
      <c r="D391" s="6"/>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6">
      <c r="A392" s="3"/>
      <c r="B392" s="6"/>
      <c r="C392" s="6"/>
      <c r="D392" s="6"/>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6">
      <c r="A393" s="3"/>
      <c r="B393" s="6"/>
      <c r="C393" s="6"/>
      <c r="D393" s="6"/>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6">
      <c r="A394" s="3"/>
      <c r="B394" s="6"/>
      <c r="C394" s="6"/>
      <c r="D394" s="6"/>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6">
      <c r="A395" s="3"/>
      <c r="B395" s="6"/>
      <c r="C395" s="6"/>
      <c r="D395" s="6"/>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6">
      <c r="A396" s="3"/>
      <c r="B396" s="6"/>
      <c r="C396" s="6"/>
      <c r="D396" s="6"/>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6">
      <c r="A397" s="3"/>
      <c r="B397" s="6"/>
      <c r="C397" s="6"/>
      <c r="D397" s="6"/>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6">
      <c r="A398" s="3"/>
      <c r="B398" s="6"/>
      <c r="C398" s="6"/>
      <c r="D398" s="6"/>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6">
      <c r="A399" s="3"/>
      <c r="B399" s="6"/>
      <c r="C399" s="6"/>
      <c r="D399" s="6"/>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6">
      <c r="A400" s="3"/>
      <c r="B400" s="6"/>
      <c r="C400" s="6"/>
      <c r="D400" s="6"/>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6">
      <c r="A401" s="3"/>
      <c r="B401" s="6"/>
      <c r="C401" s="6"/>
      <c r="D401" s="6"/>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6">
      <c r="A402" s="3"/>
      <c r="B402" s="6"/>
      <c r="C402" s="6"/>
      <c r="D402" s="6"/>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6">
      <c r="A403" s="3"/>
      <c r="B403" s="6"/>
      <c r="C403" s="6"/>
      <c r="D403" s="6"/>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6">
      <c r="A404" s="3"/>
      <c r="B404" s="6"/>
      <c r="C404" s="6"/>
      <c r="D404" s="6"/>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6">
      <c r="A405" s="3"/>
      <c r="B405" s="6"/>
      <c r="C405" s="6"/>
      <c r="D405" s="6"/>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6">
      <c r="A406" s="3"/>
      <c r="B406" s="6"/>
      <c r="C406" s="6"/>
      <c r="D406" s="6"/>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6">
      <c r="A407" s="3"/>
      <c r="B407" s="6"/>
      <c r="C407" s="6"/>
      <c r="D407" s="6"/>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6">
      <c r="A408" s="3"/>
      <c r="B408" s="6"/>
      <c r="C408" s="6"/>
      <c r="D408" s="6"/>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6">
      <c r="A409" s="3"/>
      <c r="B409" s="6"/>
      <c r="C409" s="6"/>
      <c r="D409" s="6"/>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6">
      <c r="A410" s="3"/>
      <c r="B410" s="6"/>
      <c r="C410" s="6"/>
      <c r="D410" s="6"/>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6">
      <c r="A411" s="3"/>
      <c r="B411" s="6"/>
      <c r="C411" s="6"/>
      <c r="D411" s="6"/>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6">
      <c r="A412" s="3"/>
      <c r="B412" s="6"/>
      <c r="C412" s="6"/>
      <c r="D412" s="6"/>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6">
      <c r="A413" s="3"/>
      <c r="B413" s="6"/>
      <c r="C413" s="6"/>
      <c r="D413" s="6"/>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6">
      <c r="A414" s="3"/>
      <c r="B414" s="6"/>
      <c r="C414" s="6"/>
      <c r="D414" s="6"/>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6">
      <c r="A415" s="3"/>
      <c r="B415" s="6"/>
      <c r="C415" s="6"/>
      <c r="D415" s="6"/>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6">
      <c r="A416" s="3"/>
      <c r="B416" s="6"/>
      <c r="C416" s="6"/>
      <c r="D416" s="6"/>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6">
      <c r="A417" s="3"/>
      <c r="B417" s="6"/>
      <c r="C417" s="6"/>
      <c r="D417" s="6"/>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6">
      <c r="A418" s="3"/>
      <c r="B418" s="6"/>
      <c r="C418" s="6"/>
      <c r="D418" s="6"/>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6">
      <c r="A419" s="3"/>
      <c r="B419" s="6"/>
      <c r="C419" s="6"/>
      <c r="D419" s="6"/>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6">
      <c r="A420" s="3"/>
      <c r="B420" s="6"/>
      <c r="C420" s="6"/>
      <c r="D420" s="6"/>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6">
      <c r="A421" s="3"/>
      <c r="B421" s="6"/>
      <c r="C421" s="6"/>
      <c r="D421" s="6"/>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6">
      <c r="A422" s="3"/>
      <c r="B422" s="6"/>
      <c r="C422" s="6"/>
      <c r="D422" s="6"/>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6">
      <c r="A423" s="3"/>
      <c r="B423" s="6"/>
      <c r="C423" s="6"/>
      <c r="D423" s="6"/>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6">
      <c r="A424" s="3"/>
      <c r="B424" s="6"/>
      <c r="C424" s="6"/>
      <c r="D424" s="6"/>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6">
      <c r="A425" s="3"/>
      <c r="B425" s="6"/>
      <c r="C425" s="6"/>
      <c r="D425" s="6"/>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6">
      <c r="A426" s="3"/>
      <c r="B426" s="6"/>
      <c r="C426" s="6"/>
      <c r="D426" s="6"/>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6">
      <c r="A427" s="3"/>
      <c r="B427" s="6"/>
      <c r="C427" s="6"/>
      <c r="D427" s="6"/>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6">
      <c r="A428" s="3"/>
      <c r="B428" s="6"/>
      <c r="C428" s="6"/>
      <c r="D428" s="6"/>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6">
      <c r="A429" s="3"/>
      <c r="B429" s="6"/>
      <c r="C429" s="6"/>
      <c r="D429" s="6"/>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6">
      <c r="A430" s="3"/>
      <c r="B430" s="6"/>
      <c r="C430" s="6"/>
      <c r="D430" s="6"/>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6">
      <c r="A431" s="3"/>
      <c r="B431" s="6"/>
      <c r="C431" s="6"/>
      <c r="D431" s="6"/>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6">
      <c r="A432" s="3"/>
      <c r="B432" s="6"/>
      <c r="C432" s="6"/>
      <c r="D432" s="6"/>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6">
      <c r="A433" s="3"/>
      <c r="B433" s="6"/>
      <c r="C433" s="6"/>
      <c r="D433" s="6"/>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6">
      <c r="A434" s="3"/>
      <c r="B434" s="6"/>
      <c r="C434" s="6"/>
      <c r="D434" s="6"/>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6">
      <c r="A435" s="3"/>
      <c r="B435" s="6"/>
      <c r="C435" s="6"/>
      <c r="D435" s="6"/>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6">
      <c r="A436" s="3"/>
      <c r="B436" s="6"/>
      <c r="C436" s="6"/>
      <c r="D436" s="6"/>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6">
      <c r="A437" s="3"/>
      <c r="B437" s="6"/>
      <c r="C437" s="6"/>
      <c r="D437" s="6"/>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6">
      <c r="A438" s="3"/>
      <c r="B438" s="6"/>
      <c r="C438" s="6"/>
      <c r="D438" s="6"/>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6">
      <c r="A439" s="3"/>
      <c r="B439" s="6"/>
      <c r="C439" s="6"/>
      <c r="D439" s="6"/>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6">
      <c r="A440" s="3"/>
      <c r="B440" s="6"/>
      <c r="C440" s="6"/>
      <c r="D440" s="6"/>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6">
      <c r="A441" s="3"/>
      <c r="B441" s="6"/>
      <c r="C441" s="6"/>
      <c r="D441" s="6"/>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6">
      <c r="A442" s="3"/>
      <c r="B442" s="6"/>
      <c r="C442" s="6"/>
      <c r="D442" s="6"/>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6">
      <c r="A443" s="3"/>
      <c r="B443" s="6"/>
      <c r="C443" s="6"/>
      <c r="D443" s="6"/>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6">
      <c r="A444" s="3"/>
      <c r="B444" s="6"/>
      <c r="C444" s="6"/>
      <c r="D444" s="6"/>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6">
      <c r="A445" s="3"/>
      <c r="B445" s="6"/>
      <c r="C445" s="6"/>
      <c r="D445" s="6"/>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6">
      <c r="A446" s="3"/>
      <c r="B446" s="6"/>
      <c r="C446" s="6"/>
      <c r="D446" s="6"/>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6">
      <c r="A447" s="3"/>
      <c r="B447" s="6"/>
      <c r="C447" s="6"/>
      <c r="D447" s="6"/>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6">
      <c r="A448" s="3"/>
      <c r="B448" s="6"/>
      <c r="C448" s="6"/>
      <c r="D448" s="6"/>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6">
      <c r="A449" s="3"/>
      <c r="B449" s="6"/>
      <c r="C449" s="6"/>
      <c r="D449" s="6"/>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6">
      <c r="A450" s="3"/>
      <c r="B450" s="6"/>
      <c r="C450" s="6"/>
      <c r="D450" s="6"/>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6">
      <c r="A451" s="3"/>
      <c r="B451" s="6"/>
      <c r="C451" s="6"/>
      <c r="D451" s="6"/>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6">
      <c r="A452" s="3"/>
      <c r="B452" s="6"/>
      <c r="C452" s="6"/>
      <c r="D452" s="6"/>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6">
      <c r="A453" s="3"/>
      <c r="B453" s="6"/>
      <c r="C453" s="6"/>
      <c r="D453" s="6"/>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6">
      <c r="A454" s="3"/>
      <c r="B454" s="6"/>
      <c r="C454" s="6"/>
      <c r="D454" s="6"/>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6">
      <c r="A455" s="3"/>
      <c r="B455" s="6"/>
      <c r="C455" s="6"/>
      <c r="D455" s="6"/>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6">
      <c r="A456" s="3"/>
      <c r="B456" s="6"/>
      <c r="C456" s="6"/>
      <c r="D456" s="6"/>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6">
      <c r="A457" s="3"/>
      <c r="B457" s="6"/>
      <c r="C457" s="6"/>
      <c r="D457" s="6"/>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6">
      <c r="A458" s="3"/>
      <c r="B458" s="6"/>
      <c r="C458" s="6"/>
      <c r="D458" s="6"/>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6">
      <c r="A459" s="3"/>
      <c r="B459" s="6"/>
      <c r="C459" s="6"/>
      <c r="D459" s="6"/>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6">
      <c r="A460" s="3"/>
      <c r="B460" s="6"/>
      <c r="C460" s="6"/>
      <c r="D460" s="6"/>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6">
      <c r="A461" s="3"/>
      <c r="B461" s="6"/>
      <c r="C461" s="6"/>
      <c r="D461" s="6"/>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6">
      <c r="A462" s="3"/>
      <c r="B462" s="6"/>
      <c r="C462" s="6"/>
      <c r="D462" s="6"/>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6">
      <c r="A463" s="3"/>
      <c r="B463" s="6"/>
      <c r="C463" s="6"/>
      <c r="D463" s="6"/>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6">
      <c r="A464" s="3"/>
      <c r="B464" s="6"/>
      <c r="C464" s="6"/>
      <c r="D464" s="6"/>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6">
      <c r="A465" s="3"/>
      <c r="B465" s="6"/>
      <c r="C465" s="6"/>
      <c r="D465" s="6"/>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6">
      <c r="A466" s="3"/>
      <c r="B466" s="6"/>
      <c r="C466" s="6"/>
      <c r="D466" s="6"/>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6">
      <c r="A467" s="3"/>
      <c r="B467" s="6"/>
      <c r="C467" s="6"/>
      <c r="D467" s="6"/>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6">
      <c r="A468" s="3"/>
      <c r="B468" s="6"/>
      <c r="C468" s="6"/>
      <c r="D468" s="6"/>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6">
      <c r="A469" s="3"/>
      <c r="B469" s="6"/>
      <c r="C469" s="6"/>
      <c r="D469" s="6"/>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6">
      <c r="A470" s="3"/>
      <c r="B470" s="6"/>
      <c r="C470" s="6"/>
      <c r="D470" s="6"/>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6">
      <c r="A471" s="3"/>
      <c r="B471" s="6"/>
      <c r="C471" s="6"/>
      <c r="D471" s="6"/>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6">
      <c r="A472" s="3"/>
      <c r="B472" s="6"/>
      <c r="C472" s="6"/>
      <c r="D472" s="6"/>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6">
      <c r="A473" s="3"/>
      <c r="B473" s="6"/>
      <c r="C473" s="6"/>
      <c r="D473" s="6"/>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6">
      <c r="A474" s="3"/>
      <c r="B474" s="6"/>
      <c r="C474" s="6"/>
      <c r="D474" s="6"/>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6">
      <c r="A475" s="3"/>
      <c r="B475" s="6"/>
      <c r="C475" s="6"/>
      <c r="D475" s="6"/>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6">
      <c r="A476" s="3"/>
      <c r="B476" s="6"/>
      <c r="C476" s="6"/>
      <c r="D476" s="6"/>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6">
      <c r="A477" s="3"/>
      <c r="B477" s="6"/>
      <c r="C477" s="6"/>
      <c r="D477" s="6"/>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6">
      <c r="A478" s="3"/>
      <c r="B478" s="6"/>
      <c r="C478" s="6"/>
      <c r="D478" s="6"/>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6">
      <c r="A479" s="3"/>
      <c r="B479" s="6"/>
      <c r="C479" s="6"/>
      <c r="D479" s="6"/>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6">
      <c r="A480" s="3"/>
      <c r="B480" s="6"/>
      <c r="C480" s="6"/>
      <c r="D480" s="6"/>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6">
      <c r="A481" s="3"/>
      <c r="B481" s="6"/>
      <c r="C481" s="6"/>
      <c r="D481" s="6"/>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6">
      <c r="A482" s="3"/>
      <c r="B482" s="6"/>
      <c r="C482" s="6"/>
      <c r="D482" s="6"/>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6">
      <c r="A483" s="3"/>
      <c r="B483" s="6"/>
      <c r="C483" s="6"/>
      <c r="D483" s="6"/>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6">
      <c r="A484" s="3"/>
      <c r="B484" s="6"/>
      <c r="C484" s="6"/>
      <c r="D484" s="6"/>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6">
      <c r="A485" s="3"/>
      <c r="B485" s="6"/>
      <c r="C485" s="6"/>
      <c r="D485" s="6"/>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6">
      <c r="A486" s="3"/>
      <c r="B486" s="6"/>
      <c r="C486" s="6"/>
      <c r="D486" s="6"/>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6">
      <c r="A487" s="3"/>
      <c r="B487" s="6"/>
      <c r="C487" s="6"/>
      <c r="D487" s="6"/>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6">
      <c r="A488" s="3"/>
      <c r="B488" s="6"/>
      <c r="C488" s="6"/>
      <c r="D488" s="6"/>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6">
      <c r="A489" s="3"/>
      <c r="B489" s="6"/>
      <c r="C489" s="6"/>
      <c r="D489" s="6"/>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6">
      <c r="A490" s="3"/>
      <c r="B490" s="6"/>
      <c r="C490" s="6"/>
      <c r="D490" s="6"/>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6">
      <c r="A491" s="3"/>
      <c r="B491" s="6"/>
      <c r="C491" s="6"/>
      <c r="D491" s="6"/>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6">
      <c r="A492" s="3"/>
      <c r="B492" s="6"/>
      <c r="C492" s="6"/>
      <c r="D492" s="6"/>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6">
      <c r="A493" s="3"/>
      <c r="B493" s="6"/>
      <c r="C493" s="6"/>
      <c r="D493" s="6"/>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6">
      <c r="A494" s="3"/>
      <c r="B494" s="6"/>
      <c r="C494" s="6"/>
      <c r="D494" s="6"/>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6">
      <c r="A495" s="3"/>
      <c r="B495" s="6"/>
      <c r="C495" s="6"/>
      <c r="D495" s="6"/>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6">
      <c r="A496" s="3"/>
      <c r="B496" s="6"/>
      <c r="C496" s="6"/>
      <c r="D496" s="6"/>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6">
      <c r="A497" s="3"/>
      <c r="B497" s="6"/>
      <c r="C497" s="6"/>
      <c r="D497" s="6"/>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6">
      <c r="A498" s="3"/>
      <c r="B498" s="6"/>
      <c r="C498" s="6"/>
      <c r="D498" s="6"/>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6">
      <c r="A499" s="3"/>
      <c r="B499" s="6"/>
      <c r="C499" s="6"/>
      <c r="D499" s="6"/>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6">
      <c r="A500" s="3"/>
      <c r="B500" s="6"/>
      <c r="C500" s="6"/>
      <c r="D500" s="6"/>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6">
      <c r="A501" s="3"/>
      <c r="B501" s="6"/>
      <c r="C501" s="6"/>
      <c r="D501" s="6"/>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6">
      <c r="A502" s="3"/>
      <c r="B502" s="6"/>
      <c r="C502" s="6"/>
      <c r="D502" s="6"/>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6">
      <c r="A503" s="3"/>
      <c r="B503" s="6"/>
      <c r="C503" s="6"/>
      <c r="D503" s="6"/>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6">
      <c r="A504" s="3"/>
      <c r="B504" s="6"/>
      <c r="C504" s="6"/>
      <c r="D504" s="6"/>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6">
      <c r="A505" s="3"/>
      <c r="B505" s="6"/>
      <c r="C505" s="6"/>
      <c r="D505" s="6"/>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6">
      <c r="A506" s="3"/>
      <c r="B506" s="6"/>
      <c r="C506" s="6"/>
      <c r="D506" s="6"/>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6">
      <c r="A507" s="3"/>
      <c r="B507" s="6"/>
      <c r="C507" s="6"/>
      <c r="D507" s="6"/>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6">
      <c r="A508" s="3"/>
      <c r="B508" s="6"/>
      <c r="C508" s="6"/>
      <c r="D508" s="6"/>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6">
      <c r="A509" s="3"/>
      <c r="B509" s="6"/>
      <c r="C509" s="6"/>
      <c r="D509" s="6"/>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6">
      <c r="A510" s="3"/>
      <c r="B510" s="6"/>
      <c r="C510" s="6"/>
      <c r="D510" s="6"/>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6">
      <c r="A511" s="3"/>
      <c r="B511" s="6"/>
      <c r="C511" s="6"/>
      <c r="D511" s="6"/>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6">
      <c r="A512" s="3"/>
      <c r="B512" s="6"/>
      <c r="C512" s="6"/>
      <c r="D512" s="6"/>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6">
      <c r="A513" s="3"/>
      <c r="B513" s="6"/>
      <c r="C513" s="6"/>
      <c r="D513" s="6"/>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6">
      <c r="A514" s="3"/>
      <c r="B514" s="6"/>
      <c r="C514" s="6"/>
      <c r="D514" s="6"/>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6">
      <c r="A515" s="3"/>
      <c r="B515" s="6"/>
      <c r="C515" s="6"/>
      <c r="D515" s="6"/>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6">
      <c r="A516" s="3"/>
      <c r="B516" s="6"/>
      <c r="C516" s="6"/>
      <c r="D516" s="6"/>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6">
      <c r="A517" s="3"/>
      <c r="B517" s="6"/>
      <c r="C517" s="6"/>
      <c r="D517" s="6"/>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6">
      <c r="A518" s="3"/>
      <c r="B518" s="6"/>
      <c r="C518" s="6"/>
      <c r="D518" s="6"/>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6">
      <c r="A519" s="3"/>
      <c r="B519" s="6"/>
      <c r="C519" s="6"/>
      <c r="D519" s="6"/>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6">
      <c r="A520" s="3"/>
      <c r="B520" s="6"/>
      <c r="C520" s="6"/>
      <c r="D520" s="6"/>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6">
      <c r="A521" s="3"/>
      <c r="B521" s="6"/>
      <c r="C521" s="6"/>
      <c r="D521" s="6"/>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6">
      <c r="A522" s="3"/>
      <c r="B522" s="6"/>
      <c r="C522" s="6"/>
      <c r="D522" s="6"/>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6">
      <c r="A523" s="3"/>
      <c r="B523" s="6"/>
      <c r="C523" s="6"/>
      <c r="D523" s="6"/>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6">
      <c r="A524" s="3"/>
      <c r="B524" s="6"/>
      <c r="C524" s="6"/>
      <c r="D524" s="6"/>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6">
      <c r="A525" s="3"/>
      <c r="B525" s="6"/>
      <c r="C525" s="6"/>
      <c r="D525" s="6"/>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6">
      <c r="A526" s="3"/>
      <c r="B526" s="6"/>
      <c r="C526" s="6"/>
      <c r="D526" s="6"/>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6">
      <c r="A527" s="3"/>
      <c r="B527" s="6"/>
      <c r="C527" s="6"/>
      <c r="D527" s="6"/>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6">
      <c r="A528" s="3"/>
      <c r="B528" s="6"/>
      <c r="C528" s="6"/>
      <c r="D528" s="6"/>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6">
      <c r="A529" s="3"/>
      <c r="B529" s="6"/>
      <c r="C529" s="6"/>
      <c r="D529" s="6"/>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6">
      <c r="A530" s="3"/>
      <c r="B530" s="6"/>
      <c r="C530" s="6"/>
      <c r="D530" s="6"/>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6">
      <c r="A531" s="3"/>
      <c r="B531" s="6"/>
      <c r="C531" s="6"/>
      <c r="D531" s="6"/>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6">
      <c r="A532" s="3"/>
      <c r="B532" s="6"/>
      <c r="C532" s="6"/>
      <c r="D532" s="6"/>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6">
      <c r="A533" s="3"/>
      <c r="B533" s="6"/>
      <c r="C533" s="6"/>
      <c r="D533" s="6"/>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6">
      <c r="A534" s="3"/>
      <c r="B534" s="6"/>
      <c r="C534" s="6"/>
      <c r="D534" s="6"/>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6">
      <c r="A535" s="3"/>
      <c r="B535" s="6"/>
      <c r="C535" s="6"/>
      <c r="D535" s="6"/>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6">
      <c r="A536" s="3"/>
      <c r="B536" s="6"/>
      <c r="C536" s="6"/>
      <c r="D536" s="6"/>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6">
      <c r="A537" s="3"/>
      <c r="B537" s="6"/>
      <c r="C537" s="6"/>
      <c r="D537" s="6"/>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6">
      <c r="A538" s="3"/>
      <c r="B538" s="6"/>
      <c r="C538" s="6"/>
      <c r="D538" s="6"/>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6">
      <c r="A539" s="3"/>
      <c r="B539" s="6"/>
      <c r="C539" s="6"/>
      <c r="D539" s="6"/>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6">
      <c r="A540" s="3"/>
      <c r="B540" s="6"/>
      <c r="C540" s="6"/>
      <c r="D540" s="6"/>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6">
      <c r="A541" s="3"/>
      <c r="B541" s="6"/>
      <c r="C541" s="6"/>
      <c r="D541" s="6"/>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6">
      <c r="A542" s="3"/>
      <c r="B542" s="6"/>
      <c r="C542" s="6"/>
      <c r="D542" s="6"/>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6">
      <c r="A543" s="3"/>
      <c r="B543" s="6"/>
      <c r="C543" s="6"/>
      <c r="D543" s="6"/>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6">
      <c r="A544" s="3"/>
      <c r="B544" s="6"/>
      <c r="C544" s="6"/>
      <c r="D544" s="6"/>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6">
      <c r="A545" s="3"/>
      <c r="B545" s="6"/>
      <c r="C545" s="6"/>
      <c r="D545" s="6"/>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6">
      <c r="A546" s="3"/>
      <c r="B546" s="6"/>
      <c r="C546" s="6"/>
      <c r="D546" s="6"/>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6">
      <c r="A547" s="3"/>
      <c r="B547" s="6"/>
      <c r="C547" s="6"/>
      <c r="D547" s="6"/>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6">
      <c r="A548" s="3"/>
      <c r="B548" s="6"/>
      <c r="C548" s="6"/>
      <c r="D548" s="6"/>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6">
      <c r="A549" s="3"/>
      <c r="B549" s="6"/>
      <c r="C549" s="6"/>
      <c r="D549" s="6"/>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6">
      <c r="A550" s="3"/>
      <c r="B550" s="6"/>
      <c r="C550" s="6"/>
      <c r="D550" s="6"/>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6">
      <c r="A551" s="3"/>
      <c r="B551" s="6"/>
      <c r="C551" s="6"/>
      <c r="D551" s="6"/>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6">
      <c r="A552" s="3"/>
      <c r="B552" s="6"/>
      <c r="C552" s="6"/>
      <c r="D552" s="6"/>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6">
      <c r="A553" s="3"/>
      <c r="B553" s="6"/>
      <c r="C553" s="6"/>
      <c r="D553" s="6"/>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6">
      <c r="A554" s="3"/>
      <c r="B554" s="6"/>
      <c r="C554" s="6"/>
      <c r="D554" s="6"/>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6">
      <c r="A555" s="3"/>
      <c r="B555" s="6"/>
      <c r="C555" s="6"/>
      <c r="D555" s="6"/>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6">
      <c r="A556" s="3"/>
      <c r="B556" s="6"/>
      <c r="C556" s="6"/>
      <c r="D556" s="6"/>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6">
      <c r="A557" s="3"/>
      <c r="B557" s="6"/>
      <c r="C557" s="6"/>
      <c r="D557" s="6"/>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6">
      <c r="A558" s="3"/>
      <c r="B558" s="6"/>
      <c r="C558" s="6"/>
      <c r="D558" s="6"/>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6">
      <c r="A559" s="3"/>
      <c r="B559" s="6"/>
      <c r="C559" s="6"/>
      <c r="D559" s="6"/>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6">
      <c r="A560" s="3"/>
      <c r="B560" s="6"/>
      <c r="C560" s="6"/>
      <c r="D560" s="6"/>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6">
      <c r="A561" s="3"/>
      <c r="B561" s="6"/>
      <c r="C561" s="6"/>
      <c r="D561" s="6"/>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6">
      <c r="A562" s="3"/>
      <c r="B562" s="6"/>
      <c r="C562" s="6"/>
      <c r="D562" s="6"/>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6">
      <c r="A563" s="3"/>
      <c r="B563" s="6"/>
      <c r="C563" s="6"/>
      <c r="D563" s="6"/>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6">
      <c r="A564" s="3"/>
      <c r="B564" s="6"/>
      <c r="C564" s="6"/>
      <c r="D564" s="6"/>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6">
      <c r="A565" s="3"/>
      <c r="B565" s="6"/>
      <c r="C565" s="6"/>
      <c r="D565" s="6"/>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6">
      <c r="A566" s="3"/>
      <c r="B566" s="6"/>
      <c r="C566" s="6"/>
      <c r="D566" s="6"/>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6">
      <c r="A567" s="3"/>
      <c r="B567" s="6"/>
      <c r="C567" s="6"/>
      <c r="D567" s="6"/>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6">
      <c r="A568" s="3"/>
      <c r="B568" s="6"/>
      <c r="C568" s="6"/>
      <c r="D568" s="6"/>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6">
      <c r="A569" s="3"/>
      <c r="B569" s="6"/>
      <c r="C569" s="6"/>
      <c r="D569" s="6"/>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6">
      <c r="A570" s="3"/>
      <c r="B570" s="6"/>
      <c r="C570" s="6"/>
      <c r="D570" s="6"/>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6">
      <c r="A571" s="3"/>
      <c r="B571" s="6"/>
      <c r="C571" s="6"/>
      <c r="D571" s="6"/>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6">
      <c r="A572" s="3"/>
      <c r="B572" s="6"/>
      <c r="C572" s="6"/>
      <c r="D572" s="6"/>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6">
      <c r="A573" s="3"/>
      <c r="B573" s="6"/>
      <c r="C573" s="6"/>
      <c r="D573" s="6"/>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6">
      <c r="A574" s="3"/>
      <c r="B574" s="6"/>
      <c r="C574" s="6"/>
      <c r="D574" s="6"/>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6">
      <c r="A575" s="3"/>
      <c r="B575" s="6"/>
      <c r="C575" s="6"/>
      <c r="D575" s="6"/>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6">
      <c r="A576" s="3"/>
      <c r="B576" s="6"/>
      <c r="C576" s="6"/>
      <c r="D576" s="6"/>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6">
      <c r="A577" s="3"/>
      <c r="B577" s="6"/>
      <c r="C577" s="6"/>
      <c r="D577" s="6"/>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6">
      <c r="A578" s="3"/>
      <c r="B578" s="6"/>
      <c r="C578" s="6"/>
      <c r="D578" s="6"/>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6">
      <c r="A579" s="3"/>
      <c r="B579" s="6"/>
      <c r="C579" s="6"/>
      <c r="D579" s="6"/>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6">
      <c r="A580" s="3"/>
      <c r="B580" s="6"/>
      <c r="C580" s="6"/>
      <c r="D580" s="6"/>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6">
      <c r="A581" s="3"/>
      <c r="B581" s="6"/>
      <c r="C581" s="6"/>
      <c r="D581" s="6"/>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6">
      <c r="A582" s="3"/>
      <c r="B582" s="6"/>
      <c r="C582" s="6"/>
      <c r="D582" s="6"/>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6">
      <c r="A583" s="3"/>
      <c r="B583" s="6"/>
      <c r="C583" s="6"/>
      <c r="D583" s="6"/>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6">
      <c r="A584" s="3"/>
      <c r="B584" s="6"/>
      <c r="C584" s="6"/>
      <c r="D584" s="6"/>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6">
      <c r="A585" s="3"/>
      <c r="B585" s="6"/>
      <c r="C585" s="6"/>
      <c r="D585" s="6"/>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6">
      <c r="A586" s="3"/>
      <c r="B586" s="6"/>
      <c r="C586" s="6"/>
      <c r="D586" s="6"/>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6">
      <c r="A587" s="3"/>
      <c r="B587" s="6"/>
      <c r="C587" s="6"/>
      <c r="D587" s="6"/>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6">
      <c r="A588" s="3"/>
      <c r="B588" s="6"/>
      <c r="C588" s="6"/>
      <c r="D588" s="6"/>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6">
      <c r="A589" s="3"/>
      <c r="B589" s="6"/>
      <c r="C589" s="6"/>
      <c r="D589" s="6"/>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6">
      <c r="A590" s="3"/>
      <c r="B590" s="6"/>
      <c r="C590" s="6"/>
      <c r="D590" s="6"/>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6">
      <c r="A591" s="3"/>
      <c r="B591" s="6"/>
      <c r="C591" s="6"/>
      <c r="D591" s="6"/>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6">
      <c r="A592" s="3"/>
      <c r="B592" s="6"/>
      <c r="C592" s="6"/>
      <c r="D592" s="6"/>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6">
      <c r="A593" s="3"/>
      <c r="B593" s="6"/>
      <c r="C593" s="6"/>
      <c r="D593" s="6"/>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6">
      <c r="A594" s="3"/>
      <c r="B594" s="6"/>
      <c r="C594" s="6"/>
      <c r="D594" s="6"/>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6">
      <c r="A595" s="3"/>
      <c r="B595" s="6"/>
      <c r="C595" s="6"/>
      <c r="D595" s="6"/>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6">
      <c r="A596" s="3"/>
      <c r="B596" s="6"/>
      <c r="C596" s="6"/>
      <c r="D596" s="6"/>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6">
      <c r="A597" s="3"/>
      <c r="B597" s="6"/>
      <c r="C597" s="6"/>
      <c r="D597" s="6"/>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6">
      <c r="A598" s="3"/>
      <c r="B598" s="6"/>
      <c r="C598" s="6"/>
      <c r="D598" s="6"/>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6">
      <c r="A599" s="3"/>
      <c r="B599" s="6"/>
      <c r="C599" s="6"/>
      <c r="D599" s="6"/>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6">
      <c r="A600" s="3"/>
      <c r="B600" s="6"/>
      <c r="C600" s="6"/>
      <c r="D600" s="6"/>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6">
      <c r="A601" s="3"/>
      <c r="B601" s="6"/>
      <c r="C601" s="6"/>
      <c r="D601" s="6"/>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6">
      <c r="A602" s="3"/>
      <c r="B602" s="6"/>
      <c r="C602" s="6"/>
      <c r="D602" s="6"/>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6">
      <c r="A603" s="3"/>
      <c r="B603" s="6"/>
      <c r="C603" s="6"/>
      <c r="D603" s="6"/>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6">
      <c r="A604" s="3"/>
      <c r="B604" s="6"/>
      <c r="C604" s="6"/>
      <c r="D604" s="6"/>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6">
      <c r="A605" s="3"/>
      <c r="B605" s="6"/>
      <c r="C605" s="6"/>
      <c r="D605" s="6"/>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6">
      <c r="A606" s="3"/>
      <c r="B606" s="6"/>
      <c r="C606" s="6"/>
      <c r="D606" s="6"/>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6">
      <c r="A607" s="3"/>
      <c r="B607" s="6"/>
      <c r="C607" s="6"/>
      <c r="D607" s="6"/>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6">
      <c r="A608" s="3"/>
      <c r="B608" s="6"/>
      <c r="C608" s="6"/>
      <c r="D608" s="6"/>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6">
      <c r="A609" s="3"/>
      <c r="B609" s="6"/>
      <c r="C609" s="6"/>
      <c r="D609" s="6"/>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6">
      <c r="A610" s="3"/>
      <c r="B610" s="6"/>
      <c r="C610" s="6"/>
      <c r="D610" s="6"/>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6">
      <c r="A611" s="3"/>
      <c r="B611" s="6"/>
      <c r="C611" s="6"/>
      <c r="D611" s="6"/>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6">
      <c r="A612" s="3"/>
      <c r="B612" s="6"/>
      <c r="C612" s="6"/>
      <c r="D612" s="6"/>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6">
      <c r="A613" s="3"/>
      <c r="B613" s="6"/>
      <c r="C613" s="6"/>
      <c r="D613" s="6"/>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6">
      <c r="A614" s="3"/>
      <c r="B614" s="6"/>
      <c r="C614" s="6"/>
      <c r="D614" s="6"/>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6">
      <c r="A615" s="3"/>
      <c r="B615" s="6"/>
      <c r="C615" s="6"/>
      <c r="D615" s="6"/>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6">
      <c r="A616" s="3"/>
      <c r="B616" s="6"/>
      <c r="C616" s="6"/>
      <c r="D616" s="6"/>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6">
      <c r="A617" s="3"/>
      <c r="B617" s="6"/>
      <c r="C617" s="6"/>
      <c r="D617" s="6"/>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6">
      <c r="A618" s="3"/>
      <c r="B618" s="6"/>
      <c r="C618" s="6"/>
      <c r="D618" s="6"/>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6">
      <c r="A619" s="3"/>
      <c r="B619" s="6"/>
      <c r="C619" s="6"/>
      <c r="D619" s="6"/>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6">
      <c r="A620" s="3"/>
      <c r="B620" s="6"/>
      <c r="C620" s="6"/>
      <c r="D620" s="6"/>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6">
      <c r="A621" s="3"/>
      <c r="B621" s="6"/>
      <c r="C621" s="6"/>
      <c r="D621" s="6"/>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6">
      <c r="A622" s="3"/>
      <c r="B622" s="6"/>
      <c r="C622" s="6"/>
      <c r="D622" s="6"/>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6">
      <c r="A623" s="3"/>
      <c r="B623" s="6"/>
      <c r="C623" s="6"/>
      <c r="D623" s="6"/>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6">
      <c r="A624" s="3"/>
      <c r="B624" s="6"/>
      <c r="C624" s="6"/>
      <c r="D624" s="6"/>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6">
      <c r="A625" s="3"/>
      <c r="B625" s="6"/>
      <c r="C625" s="6"/>
      <c r="D625" s="6"/>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6">
      <c r="A626" s="3"/>
      <c r="B626" s="6"/>
      <c r="C626" s="6"/>
      <c r="D626" s="6"/>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6">
      <c r="A627" s="3"/>
      <c r="B627" s="6"/>
      <c r="C627" s="6"/>
      <c r="D627" s="6"/>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6">
      <c r="A628" s="3"/>
      <c r="B628" s="6"/>
      <c r="C628" s="6"/>
      <c r="D628" s="6"/>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6">
      <c r="A629" s="3"/>
      <c r="B629" s="6"/>
      <c r="C629" s="6"/>
      <c r="D629" s="6"/>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6">
      <c r="A630" s="3"/>
      <c r="B630" s="6"/>
      <c r="C630" s="6"/>
      <c r="D630" s="6"/>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6">
      <c r="A631" s="3"/>
      <c r="B631" s="6"/>
      <c r="C631" s="6"/>
      <c r="D631" s="6"/>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6">
      <c r="A632" s="3"/>
      <c r="B632" s="6"/>
      <c r="C632" s="6"/>
      <c r="D632" s="6"/>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6">
      <c r="A633" s="3"/>
      <c r="B633" s="6"/>
      <c r="C633" s="6"/>
      <c r="D633" s="6"/>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6">
      <c r="A634" s="3"/>
      <c r="B634" s="6"/>
      <c r="C634" s="6"/>
      <c r="D634" s="6"/>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6">
      <c r="A635" s="3"/>
      <c r="B635" s="6"/>
      <c r="C635" s="6"/>
      <c r="D635" s="6"/>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6">
      <c r="A636" s="3"/>
      <c r="B636" s="6"/>
      <c r="C636" s="6"/>
      <c r="D636" s="6"/>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6">
      <c r="A637" s="3"/>
      <c r="B637" s="6"/>
      <c r="C637" s="6"/>
      <c r="D637" s="6"/>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6">
      <c r="A638" s="3"/>
      <c r="B638" s="6"/>
      <c r="C638" s="6"/>
      <c r="D638" s="6"/>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6">
      <c r="A639" s="3"/>
      <c r="B639" s="6"/>
      <c r="C639" s="6"/>
      <c r="D639" s="6"/>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6">
      <c r="A640" s="3"/>
      <c r="B640" s="6"/>
      <c r="C640" s="6"/>
      <c r="D640" s="6"/>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6">
      <c r="A641" s="3"/>
      <c r="B641" s="6"/>
      <c r="C641" s="6"/>
      <c r="D641" s="6"/>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6">
      <c r="A642" s="3"/>
      <c r="B642" s="6"/>
      <c r="C642" s="6"/>
      <c r="D642" s="6"/>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6">
      <c r="A643" s="3"/>
      <c r="B643" s="6"/>
      <c r="C643" s="6"/>
      <c r="D643" s="6"/>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6">
      <c r="A644" s="3"/>
      <c r="B644" s="6"/>
      <c r="C644" s="6"/>
      <c r="D644" s="6"/>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6">
      <c r="A645" s="3"/>
      <c r="B645" s="6"/>
      <c r="C645" s="6"/>
      <c r="D645" s="6"/>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6">
      <c r="A646" s="3"/>
      <c r="B646" s="6"/>
      <c r="C646" s="6"/>
      <c r="D646" s="6"/>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6">
      <c r="A647" s="3"/>
      <c r="B647" s="6"/>
      <c r="C647" s="6"/>
      <c r="D647" s="6"/>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6">
      <c r="A648" s="3"/>
      <c r="B648" s="6"/>
      <c r="C648" s="6"/>
      <c r="D648" s="6"/>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6">
      <c r="A649" s="3"/>
      <c r="B649" s="6"/>
      <c r="C649" s="6"/>
      <c r="D649" s="6"/>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6">
      <c r="A650" s="3"/>
      <c r="B650" s="6"/>
      <c r="C650" s="6"/>
      <c r="D650" s="6"/>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6">
      <c r="A651" s="3"/>
      <c r="B651" s="6"/>
      <c r="C651" s="6"/>
      <c r="D651" s="6"/>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6">
      <c r="A652" s="3"/>
      <c r="B652" s="6"/>
      <c r="C652" s="6"/>
      <c r="D652" s="6"/>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6">
      <c r="A653" s="3"/>
      <c r="B653" s="6"/>
      <c r="C653" s="6"/>
      <c r="D653" s="6"/>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6">
      <c r="A654" s="3"/>
      <c r="B654" s="6"/>
      <c r="C654" s="6"/>
      <c r="D654" s="6"/>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6">
      <c r="A655" s="3"/>
      <c r="B655" s="6"/>
      <c r="C655" s="6"/>
      <c r="D655" s="6"/>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6">
      <c r="A656" s="3"/>
      <c r="B656" s="6"/>
      <c r="C656" s="6"/>
      <c r="D656" s="6"/>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6">
      <c r="A657" s="3"/>
      <c r="B657" s="6"/>
      <c r="C657" s="6"/>
      <c r="D657" s="6"/>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6">
      <c r="A658" s="3"/>
      <c r="B658" s="6"/>
      <c r="C658" s="6"/>
      <c r="D658" s="6"/>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6">
      <c r="A659" s="3"/>
      <c r="B659" s="6"/>
      <c r="C659" s="6"/>
      <c r="D659" s="6"/>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6">
      <c r="A660" s="3"/>
      <c r="B660" s="6"/>
      <c r="C660" s="6"/>
      <c r="D660" s="6"/>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6">
      <c r="A661" s="3"/>
      <c r="B661" s="6"/>
      <c r="C661" s="6"/>
      <c r="D661" s="6"/>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6">
      <c r="A662" s="3"/>
      <c r="B662" s="6"/>
      <c r="C662" s="6"/>
      <c r="D662" s="6"/>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6">
      <c r="A663" s="3"/>
      <c r="B663" s="6"/>
      <c r="C663" s="6"/>
      <c r="D663" s="6"/>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6">
      <c r="A664" s="3"/>
      <c r="B664" s="6"/>
      <c r="C664" s="6"/>
      <c r="D664" s="6"/>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6">
      <c r="A665" s="3"/>
      <c r="B665" s="6"/>
      <c r="C665" s="6"/>
      <c r="D665" s="6"/>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6">
      <c r="A666" s="3"/>
      <c r="B666" s="6"/>
      <c r="C666" s="6"/>
      <c r="D666" s="6"/>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6">
      <c r="A667" s="3"/>
      <c r="B667" s="6"/>
      <c r="C667" s="6"/>
      <c r="D667" s="6"/>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6">
      <c r="A668" s="3"/>
      <c r="B668" s="6"/>
      <c r="C668" s="6"/>
      <c r="D668" s="6"/>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6">
      <c r="A669" s="3"/>
      <c r="B669" s="6"/>
      <c r="C669" s="6"/>
      <c r="D669" s="6"/>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6">
      <c r="A670" s="3"/>
      <c r="B670" s="6"/>
      <c r="C670" s="6"/>
      <c r="D670" s="6"/>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6">
      <c r="A671" s="3"/>
      <c r="B671" s="6"/>
      <c r="C671" s="6"/>
      <c r="D671" s="6"/>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6">
      <c r="A672" s="3"/>
      <c r="B672" s="6"/>
      <c r="C672" s="6"/>
      <c r="D672" s="6"/>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6">
      <c r="A673" s="3"/>
      <c r="B673" s="6"/>
      <c r="C673" s="6"/>
      <c r="D673" s="6"/>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6">
      <c r="A674" s="3"/>
      <c r="B674" s="6"/>
      <c r="C674" s="6"/>
      <c r="D674" s="6"/>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6">
      <c r="A675" s="3"/>
      <c r="B675" s="6"/>
      <c r="C675" s="6"/>
      <c r="D675" s="6"/>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6">
      <c r="A676" s="3"/>
      <c r="B676" s="6"/>
      <c r="C676" s="6"/>
      <c r="D676" s="6"/>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6">
      <c r="A677" s="3"/>
      <c r="B677" s="6"/>
      <c r="C677" s="6"/>
      <c r="D677" s="6"/>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6">
      <c r="A678" s="3"/>
      <c r="B678" s="6"/>
      <c r="C678" s="6"/>
      <c r="D678" s="6"/>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6">
      <c r="A679" s="3"/>
      <c r="B679" s="6"/>
      <c r="C679" s="6"/>
      <c r="D679" s="6"/>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6">
      <c r="A680" s="3"/>
      <c r="B680" s="6"/>
      <c r="C680" s="6"/>
      <c r="D680" s="6"/>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6">
      <c r="A681" s="3"/>
      <c r="B681" s="6"/>
      <c r="C681" s="6"/>
      <c r="D681" s="6"/>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6">
      <c r="A682" s="3"/>
      <c r="B682" s="6"/>
      <c r="C682" s="6"/>
      <c r="D682" s="6"/>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6">
      <c r="A683" s="3"/>
      <c r="B683" s="6"/>
      <c r="C683" s="6"/>
      <c r="D683" s="6"/>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6">
      <c r="A684" s="3"/>
      <c r="B684" s="6"/>
      <c r="C684" s="6"/>
      <c r="D684" s="6"/>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6">
      <c r="A685" s="3"/>
      <c r="B685" s="6"/>
      <c r="C685" s="6"/>
      <c r="D685" s="6"/>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6">
      <c r="A686" s="3"/>
      <c r="B686" s="6"/>
      <c r="C686" s="6"/>
      <c r="D686" s="6"/>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6">
      <c r="A687" s="3"/>
      <c r="B687" s="6"/>
      <c r="C687" s="6"/>
      <c r="D687" s="6"/>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6">
      <c r="A688" s="3"/>
      <c r="B688" s="6"/>
      <c r="C688" s="6"/>
      <c r="D688" s="6"/>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6">
      <c r="A689" s="3"/>
      <c r="B689" s="6"/>
      <c r="C689" s="6"/>
      <c r="D689" s="6"/>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6">
      <c r="A690" s="3"/>
      <c r="B690" s="6"/>
      <c r="C690" s="6"/>
      <c r="D690" s="6"/>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6">
      <c r="A691" s="3"/>
      <c r="B691" s="6"/>
      <c r="C691" s="6"/>
      <c r="D691" s="6"/>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6">
      <c r="A692" s="3"/>
      <c r="B692" s="6"/>
      <c r="C692" s="6"/>
      <c r="D692" s="6"/>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6">
      <c r="A693" s="3"/>
      <c r="B693" s="6"/>
      <c r="C693" s="6"/>
      <c r="D693" s="6"/>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6">
      <c r="A694" s="3"/>
      <c r="B694" s="6"/>
      <c r="C694" s="6"/>
      <c r="D694" s="6"/>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6">
      <c r="A695" s="3"/>
      <c r="B695" s="6"/>
      <c r="C695" s="6"/>
      <c r="D695" s="6"/>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6">
      <c r="A696" s="3"/>
      <c r="B696" s="6"/>
      <c r="C696" s="6"/>
      <c r="D696" s="6"/>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6">
      <c r="A697" s="3"/>
      <c r="B697" s="6"/>
      <c r="C697" s="6"/>
      <c r="D697" s="6"/>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6">
      <c r="A698" s="3"/>
      <c r="B698" s="6"/>
      <c r="C698" s="6"/>
      <c r="D698" s="6"/>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6">
      <c r="A699" s="3"/>
      <c r="B699" s="6"/>
      <c r="C699" s="6"/>
      <c r="D699" s="6"/>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6">
      <c r="A700" s="3"/>
      <c r="B700" s="6"/>
      <c r="C700" s="6"/>
      <c r="D700" s="6"/>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6">
      <c r="A701" s="3"/>
      <c r="B701" s="6"/>
      <c r="C701" s="6"/>
      <c r="D701" s="6"/>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6">
      <c r="A702" s="3"/>
      <c r="B702" s="6"/>
      <c r="C702" s="6"/>
      <c r="D702" s="6"/>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6">
      <c r="A703" s="3"/>
      <c r="B703" s="6"/>
      <c r="C703" s="6"/>
      <c r="D703" s="6"/>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6">
      <c r="A704" s="3"/>
      <c r="B704" s="6"/>
      <c r="C704" s="6"/>
      <c r="D704" s="6"/>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6">
      <c r="A705" s="3"/>
      <c r="B705" s="6"/>
      <c r="C705" s="6"/>
      <c r="D705" s="6"/>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6">
      <c r="A706" s="3"/>
      <c r="B706" s="6"/>
      <c r="C706" s="6"/>
      <c r="D706" s="6"/>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6">
      <c r="A707" s="3"/>
      <c r="B707" s="6"/>
      <c r="C707" s="6"/>
      <c r="D707" s="6"/>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6">
      <c r="A708" s="3"/>
      <c r="B708" s="6"/>
      <c r="C708" s="6"/>
      <c r="D708" s="6"/>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6">
      <c r="A709" s="3"/>
      <c r="B709" s="6"/>
      <c r="C709" s="6"/>
      <c r="D709" s="6"/>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6">
      <c r="A710" s="3"/>
      <c r="B710" s="6"/>
      <c r="C710" s="6"/>
      <c r="D710" s="6"/>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6">
      <c r="A711" s="3"/>
      <c r="B711" s="6"/>
      <c r="C711" s="6"/>
      <c r="D711" s="6"/>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6">
      <c r="A712" s="3"/>
      <c r="B712" s="6"/>
      <c r="C712" s="6"/>
      <c r="D712" s="6"/>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6">
      <c r="A713" s="3"/>
      <c r="B713" s="6"/>
      <c r="C713" s="6"/>
      <c r="D713" s="6"/>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6">
      <c r="A714" s="3"/>
      <c r="B714" s="6"/>
      <c r="C714" s="6"/>
      <c r="D714" s="6"/>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6">
      <c r="A715" s="3"/>
      <c r="B715" s="6"/>
      <c r="C715" s="6"/>
      <c r="D715" s="6"/>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6">
      <c r="A716" s="3"/>
      <c r="B716" s="6"/>
      <c r="C716" s="6"/>
      <c r="D716" s="6"/>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6">
      <c r="A717" s="3"/>
      <c r="B717" s="6"/>
      <c r="C717" s="6"/>
      <c r="D717" s="6"/>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6">
      <c r="A718" s="3"/>
      <c r="B718" s="6"/>
      <c r="C718" s="6"/>
      <c r="D718" s="6"/>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6">
      <c r="A719" s="3"/>
      <c r="B719" s="6"/>
      <c r="C719" s="6"/>
      <c r="D719" s="6"/>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6">
      <c r="A720" s="3"/>
      <c r="B720" s="6"/>
      <c r="C720" s="6"/>
      <c r="D720" s="6"/>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6">
      <c r="A721" s="3"/>
      <c r="B721" s="6"/>
      <c r="C721" s="6"/>
      <c r="D721" s="6"/>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6">
      <c r="A722" s="3"/>
      <c r="B722" s="6"/>
      <c r="C722" s="6"/>
      <c r="D722" s="6"/>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6">
      <c r="A723" s="3"/>
      <c r="B723" s="6"/>
      <c r="C723" s="6"/>
      <c r="D723" s="6"/>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6">
      <c r="A724" s="3"/>
      <c r="B724" s="6"/>
      <c r="C724" s="6"/>
      <c r="D724" s="6"/>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6">
      <c r="A725" s="3"/>
      <c r="B725" s="6"/>
      <c r="C725" s="6"/>
      <c r="D725" s="6"/>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6">
      <c r="A726" s="3"/>
      <c r="B726" s="6"/>
      <c r="C726" s="6"/>
      <c r="D726" s="6"/>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6">
      <c r="A727" s="3"/>
      <c r="B727" s="6"/>
      <c r="C727" s="6"/>
      <c r="D727" s="6"/>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6">
      <c r="A728" s="3"/>
      <c r="B728" s="6"/>
      <c r="C728" s="6"/>
      <c r="D728" s="6"/>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6">
      <c r="A729" s="3"/>
      <c r="B729" s="6"/>
      <c r="C729" s="6"/>
      <c r="D729" s="6"/>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6">
      <c r="A730" s="3"/>
      <c r="B730" s="6"/>
      <c r="C730" s="6"/>
      <c r="D730" s="6"/>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6">
      <c r="A731" s="3"/>
      <c r="B731" s="6"/>
      <c r="C731" s="6"/>
      <c r="D731" s="6"/>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6">
      <c r="A732" s="3"/>
      <c r="B732" s="6"/>
      <c r="C732" s="6"/>
      <c r="D732" s="6"/>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6">
      <c r="A733" s="3"/>
      <c r="B733" s="6"/>
      <c r="C733" s="6"/>
      <c r="D733" s="6"/>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6">
      <c r="A734" s="3"/>
      <c r="B734" s="6"/>
      <c r="C734" s="6"/>
      <c r="D734" s="6"/>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6">
      <c r="A735" s="3"/>
      <c r="B735" s="6"/>
      <c r="C735" s="6"/>
      <c r="D735" s="6"/>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6">
      <c r="A736" s="3"/>
      <c r="B736" s="6"/>
      <c r="C736" s="6"/>
      <c r="D736" s="6"/>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6">
      <c r="A737" s="3"/>
      <c r="B737" s="6"/>
      <c r="C737" s="6"/>
      <c r="D737" s="6"/>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6">
      <c r="A738" s="3"/>
      <c r="B738" s="6"/>
      <c r="C738" s="6"/>
      <c r="D738" s="6"/>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6">
      <c r="A739" s="3"/>
      <c r="B739" s="6"/>
      <c r="C739" s="6"/>
      <c r="D739" s="6"/>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6">
      <c r="A740" s="3"/>
      <c r="B740" s="6"/>
      <c r="C740" s="6"/>
      <c r="D740" s="6"/>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6">
      <c r="A741" s="3"/>
      <c r="B741" s="6"/>
      <c r="C741" s="6"/>
      <c r="D741" s="6"/>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6">
      <c r="A742" s="3"/>
      <c r="B742" s="6"/>
      <c r="C742" s="6"/>
      <c r="D742" s="6"/>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6">
      <c r="A743" s="3"/>
      <c r="B743" s="6"/>
      <c r="C743" s="6"/>
      <c r="D743" s="6"/>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6">
      <c r="A744" s="3"/>
      <c r="B744" s="6"/>
      <c r="C744" s="6"/>
      <c r="D744" s="6"/>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6">
      <c r="A745" s="3"/>
      <c r="B745" s="6"/>
      <c r="C745" s="6"/>
      <c r="D745" s="6"/>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6">
      <c r="A746" s="3"/>
      <c r="B746" s="6"/>
      <c r="C746" s="6"/>
      <c r="D746" s="6"/>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6">
      <c r="A747" s="3"/>
      <c r="B747" s="6"/>
      <c r="C747" s="6"/>
      <c r="D747" s="6"/>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6">
      <c r="A748" s="3"/>
      <c r="B748" s="6"/>
      <c r="C748" s="6"/>
      <c r="D748" s="6"/>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6">
      <c r="A749" s="3"/>
      <c r="B749" s="6"/>
      <c r="C749" s="6"/>
      <c r="D749" s="6"/>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6">
      <c r="A750" s="3"/>
      <c r="B750" s="6"/>
      <c r="C750" s="6"/>
      <c r="D750" s="6"/>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6">
      <c r="A751" s="3"/>
      <c r="B751" s="6"/>
      <c r="C751" s="6"/>
      <c r="D751" s="6"/>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6">
      <c r="A752" s="3"/>
      <c r="B752" s="6"/>
      <c r="C752" s="6"/>
      <c r="D752" s="6"/>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6">
      <c r="A753" s="3"/>
      <c r="B753" s="6"/>
      <c r="C753" s="6"/>
      <c r="D753" s="6"/>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6">
      <c r="A754" s="3"/>
      <c r="B754" s="6"/>
      <c r="C754" s="6"/>
      <c r="D754" s="6"/>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6">
      <c r="A755" s="3"/>
      <c r="B755" s="6"/>
      <c r="C755" s="6"/>
      <c r="D755" s="6"/>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6">
      <c r="A756" s="3"/>
      <c r="B756" s="6"/>
      <c r="C756" s="6"/>
      <c r="D756" s="6"/>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6">
      <c r="A757" s="3"/>
      <c r="B757" s="6"/>
      <c r="C757" s="6"/>
      <c r="D757" s="6"/>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6">
      <c r="A758" s="3"/>
      <c r="B758" s="6"/>
      <c r="C758" s="6"/>
      <c r="D758" s="6"/>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6">
      <c r="A759" s="3"/>
      <c r="B759" s="6"/>
      <c r="C759" s="6"/>
      <c r="D759" s="6"/>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6">
      <c r="A760" s="3"/>
      <c r="B760" s="6"/>
      <c r="C760" s="6"/>
      <c r="D760" s="6"/>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6">
      <c r="A761" s="3"/>
      <c r="B761" s="6"/>
      <c r="C761" s="6"/>
      <c r="D761" s="6"/>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6">
      <c r="A762" s="3"/>
      <c r="B762" s="6"/>
      <c r="C762" s="6"/>
      <c r="D762" s="6"/>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6">
      <c r="A763" s="3"/>
      <c r="B763" s="6"/>
      <c r="C763" s="6"/>
      <c r="D763" s="6"/>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6">
      <c r="A764" s="3"/>
      <c r="B764" s="6"/>
      <c r="C764" s="6"/>
      <c r="D764" s="6"/>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6">
      <c r="A765" s="3"/>
      <c r="B765" s="6"/>
      <c r="C765" s="6"/>
      <c r="D765" s="6"/>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6">
      <c r="A766" s="3"/>
      <c r="B766" s="6"/>
      <c r="C766" s="6"/>
      <c r="D766" s="6"/>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6">
      <c r="A767" s="3"/>
      <c r="B767" s="6"/>
      <c r="C767" s="6"/>
      <c r="D767" s="6"/>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6">
      <c r="A768" s="3"/>
      <c r="B768" s="6"/>
      <c r="C768" s="6"/>
      <c r="D768" s="6"/>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6">
      <c r="A769" s="3"/>
      <c r="B769" s="6"/>
      <c r="C769" s="6"/>
      <c r="D769" s="6"/>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6">
      <c r="A770" s="3"/>
      <c r="B770" s="6"/>
      <c r="C770" s="6"/>
      <c r="D770" s="6"/>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6">
      <c r="A771" s="3"/>
      <c r="B771" s="6"/>
      <c r="C771" s="6"/>
      <c r="D771" s="6"/>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6">
      <c r="A772" s="3"/>
      <c r="B772" s="6"/>
      <c r="C772" s="6"/>
      <c r="D772" s="6"/>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6">
      <c r="A773" s="3"/>
      <c r="B773" s="6"/>
      <c r="C773" s="6"/>
      <c r="D773" s="6"/>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6">
      <c r="A774" s="3"/>
      <c r="B774" s="6"/>
      <c r="C774" s="6"/>
      <c r="D774" s="6"/>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6">
      <c r="A775" s="3"/>
      <c r="B775" s="6"/>
      <c r="C775" s="6"/>
      <c r="D775" s="6"/>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6">
      <c r="A776" s="3"/>
      <c r="B776" s="6"/>
      <c r="C776" s="6"/>
      <c r="D776" s="6"/>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6">
      <c r="A777" s="3"/>
      <c r="B777" s="6"/>
      <c r="C777" s="6"/>
      <c r="D777" s="6"/>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6">
      <c r="A778" s="3"/>
      <c r="B778" s="6"/>
      <c r="C778" s="6"/>
      <c r="D778" s="6"/>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6">
      <c r="A779" s="3"/>
      <c r="B779" s="6"/>
      <c r="C779" s="6"/>
      <c r="D779" s="6"/>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6">
      <c r="A780" s="3"/>
      <c r="B780" s="6"/>
      <c r="C780" s="6"/>
      <c r="D780" s="6"/>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6">
      <c r="A781" s="3"/>
      <c r="B781" s="6"/>
      <c r="C781" s="6"/>
      <c r="D781" s="6"/>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6">
      <c r="A782" s="3"/>
      <c r="B782" s="6"/>
      <c r="C782" s="6"/>
      <c r="D782" s="6"/>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6">
      <c r="A783" s="3"/>
      <c r="B783" s="6"/>
      <c r="C783" s="6"/>
      <c r="D783" s="6"/>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6">
      <c r="A784" s="3"/>
      <c r="B784" s="6"/>
      <c r="C784" s="6"/>
      <c r="D784" s="6"/>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6">
      <c r="A785" s="3"/>
      <c r="B785" s="6"/>
      <c r="C785" s="6"/>
      <c r="D785" s="6"/>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6">
      <c r="A786" s="3"/>
      <c r="B786" s="6"/>
      <c r="C786" s="6"/>
      <c r="D786" s="6"/>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6">
      <c r="A787" s="3"/>
      <c r="B787" s="6"/>
      <c r="C787" s="6"/>
      <c r="D787" s="6"/>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6">
      <c r="A788" s="3"/>
      <c r="B788" s="6"/>
      <c r="C788" s="6"/>
      <c r="D788" s="6"/>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6">
      <c r="A789" s="3"/>
      <c r="B789" s="6"/>
      <c r="C789" s="6"/>
      <c r="D789" s="6"/>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6">
      <c r="A790" s="3"/>
      <c r="B790" s="6"/>
      <c r="C790" s="6"/>
      <c r="D790" s="6"/>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6">
      <c r="A791" s="3"/>
      <c r="B791" s="6"/>
      <c r="C791" s="6"/>
      <c r="D791" s="6"/>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6">
      <c r="A792" s="3"/>
      <c r="B792" s="6"/>
      <c r="C792" s="6"/>
      <c r="D792" s="6"/>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6">
      <c r="A793" s="3"/>
      <c r="B793" s="6"/>
      <c r="C793" s="6"/>
      <c r="D793" s="6"/>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6">
      <c r="A794" s="3"/>
      <c r="B794" s="6"/>
      <c r="C794" s="6"/>
      <c r="D794" s="6"/>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6">
      <c r="A795" s="3"/>
      <c r="B795" s="6"/>
      <c r="C795" s="6"/>
      <c r="D795" s="6"/>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6">
      <c r="A796" s="3"/>
      <c r="B796" s="6"/>
      <c r="C796" s="6"/>
      <c r="D796" s="6"/>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6">
      <c r="A797" s="3"/>
      <c r="B797" s="6"/>
      <c r="C797" s="6"/>
      <c r="D797" s="6"/>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6">
      <c r="A798" s="3"/>
      <c r="B798" s="6"/>
      <c r="C798" s="6"/>
      <c r="D798" s="6"/>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6">
      <c r="A799" s="3"/>
      <c r="B799" s="6"/>
      <c r="C799" s="6"/>
      <c r="D799" s="6"/>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6">
      <c r="A800" s="3"/>
      <c r="B800" s="6"/>
      <c r="C800" s="6"/>
      <c r="D800" s="6"/>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6">
      <c r="A801" s="3"/>
      <c r="B801" s="6"/>
      <c r="C801" s="6"/>
      <c r="D801" s="6"/>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6">
      <c r="A802" s="3"/>
      <c r="B802" s="6"/>
      <c r="C802" s="6"/>
      <c r="D802" s="6"/>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6">
      <c r="A803" s="3"/>
      <c r="B803" s="6"/>
      <c r="C803" s="6"/>
      <c r="D803" s="6"/>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6">
      <c r="A804" s="3"/>
      <c r="B804" s="6"/>
      <c r="C804" s="6"/>
      <c r="D804" s="6"/>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6">
      <c r="A805" s="3"/>
      <c r="B805" s="6"/>
      <c r="C805" s="6"/>
      <c r="D805" s="6"/>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6">
      <c r="A806" s="3"/>
      <c r="B806" s="6"/>
      <c r="C806" s="6"/>
      <c r="D806" s="6"/>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6">
      <c r="A807" s="3"/>
      <c r="B807" s="6"/>
      <c r="C807" s="6"/>
      <c r="D807" s="6"/>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6">
      <c r="A808" s="3"/>
      <c r="B808" s="6"/>
      <c r="C808" s="6"/>
      <c r="D808" s="6"/>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6">
      <c r="A809" s="3"/>
      <c r="B809" s="6"/>
      <c r="C809" s="6"/>
      <c r="D809" s="6"/>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6">
      <c r="A810" s="3"/>
      <c r="B810" s="6"/>
      <c r="C810" s="6"/>
      <c r="D810" s="6"/>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6">
      <c r="A811" s="3"/>
      <c r="B811" s="6"/>
      <c r="C811" s="6"/>
      <c r="D811" s="6"/>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6">
      <c r="A812" s="3"/>
      <c r="B812" s="6"/>
      <c r="C812" s="6"/>
      <c r="D812" s="6"/>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6">
      <c r="A813" s="3"/>
      <c r="B813" s="6"/>
      <c r="C813" s="6"/>
      <c r="D813" s="6"/>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6">
      <c r="A814" s="3"/>
      <c r="B814" s="6"/>
      <c r="C814" s="6"/>
      <c r="D814" s="6"/>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6">
      <c r="A815" s="3"/>
      <c r="B815" s="6"/>
      <c r="C815" s="6"/>
      <c r="D815" s="6"/>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6">
      <c r="A816" s="3"/>
      <c r="B816" s="6"/>
      <c r="C816" s="6"/>
      <c r="D816" s="6"/>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6">
      <c r="A817" s="3"/>
      <c r="B817" s="6"/>
      <c r="C817" s="6"/>
      <c r="D817" s="6"/>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6">
      <c r="A818" s="3"/>
      <c r="B818" s="6"/>
      <c r="C818" s="6"/>
      <c r="D818" s="6"/>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6">
      <c r="A819" s="3"/>
      <c r="B819" s="6"/>
      <c r="C819" s="6"/>
      <c r="D819" s="6"/>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6">
      <c r="A820" s="3"/>
      <c r="B820" s="6"/>
      <c r="C820" s="6"/>
      <c r="D820" s="6"/>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6">
      <c r="A821" s="3"/>
      <c r="B821" s="6"/>
      <c r="C821" s="6"/>
      <c r="D821" s="6"/>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6">
      <c r="A822" s="3"/>
      <c r="B822" s="6"/>
      <c r="C822" s="6"/>
      <c r="D822" s="6"/>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6">
      <c r="A823" s="3"/>
      <c r="B823" s="6"/>
      <c r="C823" s="6"/>
      <c r="D823" s="6"/>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6">
      <c r="A824" s="3"/>
      <c r="B824" s="6"/>
      <c r="C824" s="6"/>
      <c r="D824" s="6"/>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6">
      <c r="A825" s="3"/>
      <c r="B825" s="6"/>
      <c r="C825" s="6"/>
      <c r="D825" s="6"/>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6">
      <c r="A826" s="3"/>
      <c r="B826" s="6"/>
      <c r="C826" s="6"/>
      <c r="D826" s="6"/>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6">
      <c r="A827" s="3"/>
      <c r="B827" s="6"/>
      <c r="C827" s="6"/>
      <c r="D827" s="6"/>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6">
      <c r="A828" s="3"/>
      <c r="B828" s="6"/>
      <c r="C828" s="6"/>
      <c r="D828" s="6"/>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6">
      <c r="A829" s="3"/>
      <c r="B829" s="6"/>
      <c r="C829" s="6"/>
      <c r="D829" s="6"/>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6">
      <c r="A830" s="3"/>
      <c r="B830" s="6"/>
      <c r="C830" s="6"/>
      <c r="D830" s="6"/>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6">
      <c r="A831" s="3"/>
      <c r="B831" s="6"/>
      <c r="C831" s="6"/>
      <c r="D831" s="6"/>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6">
      <c r="A832" s="3"/>
      <c r="B832" s="6"/>
      <c r="C832" s="6"/>
      <c r="D832" s="6"/>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6">
      <c r="A833" s="3"/>
      <c r="B833" s="6"/>
      <c r="C833" s="6"/>
      <c r="D833" s="6"/>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6">
      <c r="A834" s="3"/>
      <c r="B834" s="6"/>
      <c r="C834" s="6"/>
      <c r="D834" s="6"/>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6">
      <c r="A835" s="3"/>
      <c r="B835" s="6"/>
      <c r="C835" s="6"/>
      <c r="D835" s="6"/>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6">
      <c r="A836" s="3"/>
      <c r="B836" s="6"/>
      <c r="C836" s="6"/>
      <c r="D836" s="6"/>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6">
      <c r="A837" s="3"/>
      <c r="B837" s="6"/>
      <c r="C837" s="6"/>
      <c r="D837" s="6"/>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6">
      <c r="A838" s="3"/>
      <c r="B838" s="6"/>
      <c r="C838" s="6"/>
      <c r="D838" s="6"/>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6">
      <c r="A839" s="3"/>
      <c r="B839" s="6"/>
      <c r="C839" s="6"/>
      <c r="D839" s="6"/>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6">
      <c r="A840" s="3"/>
      <c r="B840" s="6"/>
      <c r="C840" s="6"/>
      <c r="D840" s="6"/>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6">
      <c r="A841" s="3"/>
      <c r="B841" s="6"/>
      <c r="C841" s="6"/>
      <c r="D841" s="6"/>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6">
      <c r="A842" s="3"/>
      <c r="B842" s="6"/>
      <c r="C842" s="6"/>
      <c r="D842" s="6"/>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6">
      <c r="A843" s="3"/>
      <c r="B843" s="6"/>
      <c r="C843" s="6"/>
      <c r="D843" s="6"/>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6">
      <c r="A844" s="3"/>
      <c r="B844" s="6"/>
      <c r="C844" s="6"/>
      <c r="D844" s="6"/>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6">
      <c r="A845" s="3"/>
      <c r="B845" s="6"/>
      <c r="C845" s="6"/>
      <c r="D845" s="6"/>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6">
      <c r="A846" s="3"/>
      <c r="B846" s="6"/>
      <c r="C846" s="6"/>
      <c r="D846" s="6"/>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6">
      <c r="A847" s="3"/>
      <c r="B847" s="6"/>
      <c r="C847" s="6"/>
      <c r="D847" s="6"/>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6">
      <c r="A848" s="3"/>
      <c r="B848" s="6"/>
      <c r="C848" s="6"/>
      <c r="D848" s="6"/>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6">
      <c r="A849" s="3"/>
      <c r="B849" s="6"/>
      <c r="C849" s="6"/>
      <c r="D849" s="6"/>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6">
      <c r="A850" s="3"/>
      <c r="B850" s="6"/>
      <c r="C850" s="6"/>
      <c r="D850" s="6"/>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6">
      <c r="A851" s="3"/>
      <c r="B851" s="6"/>
      <c r="C851" s="6"/>
      <c r="D851" s="6"/>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6">
      <c r="A852" s="3"/>
      <c r="B852" s="6"/>
      <c r="C852" s="6"/>
      <c r="D852" s="6"/>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6">
      <c r="A853" s="3"/>
      <c r="B853" s="6"/>
      <c r="C853" s="6"/>
      <c r="D853" s="6"/>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6">
      <c r="A854" s="3"/>
      <c r="B854" s="6"/>
      <c r="C854" s="6"/>
      <c r="D854" s="6"/>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6">
      <c r="A855" s="3"/>
      <c r="B855" s="6"/>
      <c r="C855" s="6"/>
      <c r="D855" s="6"/>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6">
      <c r="A856" s="3"/>
      <c r="B856" s="6"/>
      <c r="C856" s="6"/>
      <c r="D856" s="6"/>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6">
      <c r="A857" s="3"/>
      <c r="B857" s="6"/>
      <c r="C857" s="6"/>
      <c r="D857" s="6"/>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6">
      <c r="A858" s="3"/>
      <c r="B858" s="6"/>
      <c r="C858" s="6"/>
      <c r="D858" s="6"/>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6">
      <c r="A859" s="3"/>
      <c r="B859" s="6"/>
      <c r="C859" s="6"/>
      <c r="D859" s="6"/>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6">
      <c r="A860" s="3"/>
      <c r="B860" s="6"/>
      <c r="C860" s="6"/>
      <c r="D860" s="6"/>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6">
      <c r="A861" s="3"/>
      <c r="B861" s="6"/>
      <c r="C861" s="6"/>
      <c r="D861" s="6"/>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6">
      <c r="A862" s="3"/>
      <c r="B862" s="6"/>
      <c r="C862" s="6"/>
      <c r="D862" s="6"/>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6">
      <c r="A863" s="3"/>
      <c r="B863" s="6"/>
      <c r="C863" s="6"/>
      <c r="D863" s="6"/>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6">
      <c r="A864" s="3"/>
      <c r="B864" s="6"/>
      <c r="C864" s="6"/>
      <c r="D864" s="6"/>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6">
      <c r="A865" s="3"/>
      <c r="B865" s="6"/>
      <c r="C865" s="6"/>
      <c r="D865" s="6"/>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6">
      <c r="A866" s="3"/>
      <c r="B866" s="6"/>
      <c r="C866" s="6"/>
      <c r="D866" s="6"/>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6">
      <c r="A867" s="3"/>
      <c r="B867" s="6"/>
      <c r="C867" s="6"/>
      <c r="D867" s="6"/>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6">
      <c r="A868" s="3"/>
      <c r="B868" s="6"/>
      <c r="C868" s="6"/>
      <c r="D868" s="6"/>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6">
      <c r="A869" s="3"/>
      <c r="B869" s="6"/>
      <c r="C869" s="6"/>
      <c r="D869" s="6"/>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6">
      <c r="A870" s="3"/>
      <c r="B870" s="6"/>
      <c r="C870" s="6"/>
      <c r="D870" s="6"/>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6">
      <c r="A871" s="3"/>
      <c r="B871" s="6"/>
      <c r="C871" s="6"/>
      <c r="D871" s="6"/>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6">
      <c r="A872" s="3"/>
      <c r="B872" s="6"/>
      <c r="C872" s="6"/>
      <c r="D872" s="6"/>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6">
      <c r="A873" s="3"/>
      <c r="B873" s="6"/>
      <c r="C873" s="6"/>
      <c r="D873" s="6"/>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6">
      <c r="A874" s="3"/>
      <c r="B874" s="6"/>
      <c r="C874" s="6"/>
      <c r="D874" s="6"/>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6">
      <c r="A875" s="3"/>
      <c r="B875" s="6"/>
      <c r="C875" s="6"/>
      <c r="D875" s="6"/>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6">
      <c r="A876" s="3"/>
      <c r="B876" s="6"/>
      <c r="C876" s="6"/>
      <c r="D876" s="6"/>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6">
      <c r="A877" s="3"/>
      <c r="B877" s="6"/>
      <c r="C877" s="6"/>
      <c r="D877" s="6"/>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6">
      <c r="A878" s="3"/>
      <c r="B878" s="6"/>
      <c r="C878" s="6"/>
      <c r="D878" s="6"/>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6">
      <c r="A879" s="3"/>
      <c r="B879" s="6"/>
      <c r="C879" s="6"/>
      <c r="D879" s="6"/>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6">
      <c r="A880" s="3"/>
      <c r="B880" s="6"/>
      <c r="C880" s="6"/>
      <c r="D880" s="6"/>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6">
      <c r="A881" s="3"/>
      <c r="B881" s="6"/>
      <c r="C881" s="6"/>
      <c r="D881" s="6"/>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6">
      <c r="A882" s="3"/>
      <c r="B882" s="6"/>
      <c r="C882" s="6"/>
      <c r="D882" s="6"/>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6">
      <c r="A883" s="3"/>
      <c r="B883" s="6"/>
      <c r="C883" s="6"/>
      <c r="D883" s="6"/>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6">
      <c r="A884" s="3"/>
      <c r="B884" s="6"/>
      <c r="C884" s="6"/>
      <c r="D884" s="6"/>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6">
      <c r="A885" s="3"/>
      <c r="B885" s="6"/>
      <c r="C885" s="6"/>
      <c r="D885" s="6"/>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6">
      <c r="A886" s="3"/>
      <c r="B886" s="6"/>
      <c r="C886" s="6"/>
      <c r="D886" s="6"/>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6">
      <c r="A887" s="3"/>
      <c r="B887" s="6"/>
      <c r="C887" s="6"/>
      <c r="D887" s="6"/>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6">
      <c r="A888" s="3"/>
      <c r="B888" s="6"/>
      <c r="C888" s="6"/>
      <c r="D888" s="6"/>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6">
      <c r="A889" s="3"/>
      <c r="B889" s="6"/>
      <c r="C889" s="6"/>
      <c r="D889" s="6"/>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6">
      <c r="A890" s="3"/>
      <c r="B890" s="6"/>
      <c r="C890" s="6"/>
      <c r="D890" s="6"/>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6">
      <c r="A891" s="3"/>
      <c r="B891" s="6"/>
      <c r="C891" s="6"/>
      <c r="D891" s="6"/>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6">
      <c r="A892" s="3"/>
      <c r="B892" s="6"/>
      <c r="C892" s="6"/>
      <c r="D892" s="6"/>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6">
      <c r="A893" s="3"/>
      <c r="B893" s="6"/>
      <c r="C893" s="6"/>
      <c r="D893" s="6"/>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6">
      <c r="A894" s="3"/>
      <c r="B894" s="6"/>
      <c r="C894" s="6"/>
      <c r="D894" s="6"/>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6">
      <c r="A895" s="3"/>
      <c r="B895" s="6"/>
      <c r="C895" s="6"/>
      <c r="D895" s="6"/>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6">
      <c r="A896" s="3"/>
      <c r="B896" s="6"/>
      <c r="C896" s="6"/>
      <c r="D896" s="6"/>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6">
      <c r="A897" s="3"/>
      <c r="B897" s="6"/>
      <c r="C897" s="6"/>
      <c r="D897" s="6"/>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6">
      <c r="A898" s="3"/>
      <c r="B898" s="6"/>
      <c r="C898" s="6"/>
      <c r="D898" s="6"/>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6">
      <c r="A899" s="3"/>
      <c r="B899" s="6"/>
      <c r="C899" s="6"/>
      <c r="D899" s="6"/>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6">
      <c r="A900" s="3"/>
      <c r="B900" s="6"/>
      <c r="C900" s="6"/>
      <c r="D900" s="6"/>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6">
      <c r="A901" s="3"/>
      <c r="B901" s="6"/>
      <c r="C901" s="6"/>
      <c r="D901" s="6"/>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6">
      <c r="A902" s="3"/>
      <c r="B902" s="6"/>
      <c r="C902" s="6"/>
      <c r="D902" s="6"/>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6">
      <c r="A903" s="3"/>
      <c r="B903" s="6"/>
      <c r="C903" s="6"/>
      <c r="D903" s="6"/>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6">
      <c r="A904" s="3"/>
      <c r="B904" s="6"/>
      <c r="C904" s="6"/>
      <c r="D904" s="6"/>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6">
      <c r="A905" s="3"/>
      <c r="B905" s="6"/>
      <c r="C905" s="6"/>
      <c r="D905" s="6"/>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6">
      <c r="A906" s="3"/>
      <c r="B906" s="6"/>
      <c r="C906" s="6"/>
      <c r="D906" s="6"/>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6">
      <c r="A907" s="3"/>
      <c r="B907" s="6"/>
      <c r="C907" s="6"/>
      <c r="D907" s="6"/>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6">
      <c r="A908" s="3"/>
      <c r="B908" s="6"/>
      <c r="C908" s="6"/>
      <c r="D908" s="6"/>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6">
      <c r="A909" s="3"/>
      <c r="B909" s="6"/>
      <c r="C909" s="6"/>
      <c r="D909" s="6"/>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6">
      <c r="A910" s="3"/>
      <c r="B910" s="6"/>
      <c r="C910" s="6"/>
      <c r="D910" s="6"/>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6">
      <c r="A911" s="3"/>
      <c r="B911" s="6"/>
      <c r="C911" s="6"/>
      <c r="D911" s="6"/>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6">
      <c r="A912" s="3"/>
      <c r="B912" s="6"/>
      <c r="C912" s="6"/>
      <c r="D912" s="6"/>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6">
      <c r="A913" s="3"/>
      <c r="B913" s="6"/>
      <c r="C913" s="6"/>
      <c r="D913" s="6"/>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6">
      <c r="A914" s="3"/>
      <c r="B914" s="6"/>
      <c r="C914" s="6"/>
      <c r="D914" s="6"/>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6">
      <c r="A915" s="3"/>
      <c r="B915" s="6"/>
      <c r="C915" s="6"/>
      <c r="D915" s="6"/>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6">
      <c r="A916" s="3"/>
      <c r="B916" s="6"/>
      <c r="C916" s="6"/>
      <c r="D916" s="6"/>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6">
      <c r="A917" s="3"/>
      <c r="B917" s="6"/>
      <c r="C917" s="6"/>
      <c r="D917" s="6"/>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6">
      <c r="A918" s="3"/>
      <c r="B918" s="6"/>
      <c r="C918" s="6"/>
      <c r="D918" s="6"/>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6">
      <c r="A919" s="3"/>
      <c r="B919" s="6"/>
      <c r="C919" s="6"/>
      <c r="D919" s="6"/>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6">
      <c r="A920" s="3"/>
      <c r="B920" s="6"/>
      <c r="C920" s="6"/>
      <c r="D920" s="6"/>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6">
      <c r="A921" s="3"/>
      <c r="B921" s="6"/>
      <c r="C921" s="6"/>
      <c r="D921" s="6"/>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6">
      <c r="A922" s="3"/>
      <c r="B922" s="6"/>
      <c r="C922" s="6"/>
      <c r="D922" s="6"/>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6">
      <c r="A923" s="3"/>
      <c r="B923" s="6"/>
      <c r="C923" s="6"/>
      <c r="D923" s="6"/>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6">
      <c r="A924" s="3"/>
      <c r="B924" s="6"/>
      <c r="C924" s="6"/>
      <c r="D924" s="6"/>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6">
      <c r="A925" s="3"/>
      <c r="B925" s="6"/>
      <c r="C925" s="6"/>
      <c r="D925" s="6"/>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6">
      <c r="A926" s="3"/>
      <c r="B926" s="6"/>
      <c r="C926" s="6"/>
      <c r="D926" s="6"/>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6">
      <c r="A927" s="3"/>
      <c r="B927" s="6"/>
      <c r="C927" s="6"/>
      <c r="D927" s="6"/>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6">
      <c r="A928" s="3"/>
      <c r="B928" s="6"/>
      <c r="C928" s="6"/>
      <c r="D928" s="6"/>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6">
      <c r="A929" s="3"/>
      <c r="B929" s="6"/>
      <c r="C929" s="6"/>
      <c r="D929" s="6"/>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6">
      <c r="A930" s="3"/>
      <c r="B930" s="6"/>
      <c r="C930" s="6"/>
      <c r="D930" s="6"/>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6">
      <c r="A931" s="3"/>
      <c r="B931" s="6"/>
      <c r="C931" s="6"/>
      <c r="D931" s="6"/>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6">
      <c r="A932" s="3"/>
      <c r="B932" s="6"/>
      <c r="C932" s="6"/>
      <c r="D932" s="6"/>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6">
      <c r="A933" s="3"/>
      <c r="B933" s="6"/>
      <c r="C933" s="6"/>
      <c r="D933" s="6"/>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6">
      <c r="A934" s="3"/>
      <c r="B934" s="6"/>
      <c r="C934" s="6"/>
      <c r="D934" s="6"/>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6">
      <c r="A935" s="3"/>
      <c r="B935" s="6"/>
      <c r="C935" s="6"/>
      <c r="D935" s="6"/>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6">
      <c r="A936" s="3"/>
      <c r="B936" s="6"/>
      <c r="C936" s="6"/>
      <c r="D936" s="6"/>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6">
      <c r="A937" s="3"/>
      <c r="B937" s="6"/>
      <c r="C937" s="6"/>
      <c r="D937" s="6"/>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6">
      <c r="A938" s="3"/>
      <c r="B938" s="6"/>
      <c r="C938" s="6"/>
      <c r="D938" s="6"/>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6">
      <c r="A939" s="3"/>
      <c r="B939" s="6"/>
      <c r="C939" s="6"/>
      <c r="D939" s="6"/>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6">
      <c r="A940" s="3"/>
      <c r="B940" s="6"/>
      <c r="C940" s="6"/>
      <c r="D940" s="6"/>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6">
      <c r="A941" s="3"/>
      <c r="B941" s="6"/>
      <c r="C941" s="6"/>
      <c r="D941" s="6"/>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6">
      <c r="A942" s="3"/>
      <c r="B942" s="6"/>
      <c r="C942" s="6"/>
      <c r="D942" s="6"/>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6">
      <c r="A943" s="3"/>
      <c r="B943" s="6"/>
      <c r="C943" s="6"/>
      <c r="D943" s="6"/>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6">
      <c r="A944" s="3"/>
      <c r="B944" s="6"/>
      <c r="C944" s="6"/>
      <c r="D944" s="6"/>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6">
      <c r="A945" s="3"/>
      <c r="B945" s="6"/>
      <c r="C945" s="6"/>
      <c r="D945" s="6"/>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6">
      <c r="A946" s="3"/>
      <c r="B946" s="6"/>
      <c r="C946" s="6"/>
      <c r="D946" s="6"/>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6">
      <c r="A947" s="3"/>
      <c r="B947" s="6"/>
      <c r="C947" s="6"/>
      <c r="D947" s="6"/>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6">
      <c r="A948" s="3"/>
      <c r="B948" s="6"/>
      <c r="C948" s="6"/>
      <c r="D948" s="6"/>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6">
      <c r="A949" s="3"/>
      <c r="B949" s="6"/>
      <c r="C949" s="6"/>
      <c r="D949" s="6"/>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6">
      <c r="A950" s="3"/>
      <c r="B950" s="6"/>
      <c r="C950" s="6"/>
      <c r="D950" s="6"/>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6">
      <c r="A951" s="3"/>
      <c r="B951" s="6"/>
      <c r="C951" s="6"/>
      <c r="D951" s="6"/>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6">
      <c r="A952" s="3"/>
      <c r="B952" s="6"/>
      <c r="C952" s="6"/>
      <c r="D952" s="6"/>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6">
      <c r="A953" s="3"/>
      <c r="B953" s="6"/>
      <c r="C953" s="6"/>
      <c r="D953" s="6"/>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6">
      <c r="A954" s="3"/>
      <c r="B954" s="6"/>
      <c r="C954" s="6"/>
      <c r="D954" s="6"/>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6">
      <c r="A955" s="3"/>
      <c r="B955" s="6"/>
      <c r="C955" s="6"/>
      <c r="D955" s="6"/>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6">
      <c r="A956" s="3"/>
      <c r="B956" s="6"/>
      <c r="C956" s="6"/>
      <c r="D956" s="6"/>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6">
      <c r="A957" s="3"/>
      <c r="B957" s="6"/>
      <c r="C957" s="6"/>
      <c r="D957" s="6"/>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6">
      <c r="A958" s="3"/>
      <c r="B958" s="6"/>
      <c r="C958" s="6"/>
      <c r="D958" s="6"/>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6">
      <c r="A959" s="3"/>
      <c r="B959" s="6"/>
      <c r="C959" s="6"/>
      <c r="D959" s="6"/>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6">
      <c r="A960" s="3"/>
      <c r="B960" s="6"/>
      <c r="C960" s="6"/>
      <c r="D960" s="6"/>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6">
      <c r="A961" s="3"/>
      <c r="B961" s="6"/>
      <c r="C961" s="6"/>
      <c r="D961" s="6"/>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6">
      <c r="A962" s="3"/>
      <c r="B962" s="6"/>
      <c r="C962" s="6"/>
      <c r="D962" s="6"/>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6">
      <c r="A963" s="3"/>
      <c r="B963" s="6"/>
      <c r="C963" s="6"/>
      <c r="D963" s="6"/>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6">
      <c r="A964" s="3"/>
      <c r="B964" s="6"/>
      <c r="C964" s="6"/>
      <c r="D964" s="6"/>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6">
      <c r="A965" s="3"/>
      <c r="B965" s="6"/>
      <c r="C965" s="6"/>
      <c r="D965" s="6"/>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6">
      <c r="A966" s="3"/>
      <c r="B966" s="6"/>
      <c r="C966" s="6"/>
      <c r="D966" s="6"/>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6">
      <c r="A967" s="3"/>
      <c r="B967" s="6"/>
      <c r="C967" s="6"/>
      <c r="D967" s="6"/>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6">
      <c r="A968" s="3"/>
      <c r="B968" s="6"/>
      <c r="C968" s="6"/>
      <c r="D968" s="6"/>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6">
      <c r="A969" s="3"/>
      <c r="B969" s="6"/>
      <c r="C969" s="6"/>
      <c r="D969" s="6"/>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6">
      <c r="A970" s="3"/>
      <c r="B970" s="6"/>
      <c r="C970" s="6"/>
      <c r="D970" s="6"/>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6">
      <c r="A971" s="3"/>
      <c r="B971" s="6"/>
      <c r="C971" s="6"/>
      <c r="D971" s="6"/>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6">
      <c r="A972" s="3"/>
      <c r="B972" s="6"/>
      <c r="C972" s="6"/>
      <c r="D972" s="6"/>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6">
      <c r="A973" s="3"/>
      <c r="B973" s="6"/>
      <c r="C973" s="6"/>
      <c r="D973" s="6"/>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6">
      <c r="A974" s="3"/>
      <c r="B974" s="6"/>
      <c r="C974" s="6"/>
      <c r="D974" s="6"/>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6">
      <c r="A975" s="3"/>
      <c r="B975" s="6"/>
      <c r="C975" s="6"/>
      <c r="D975" s="6"/>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6">
      <c r="A976" s="3"/>
      <c r="B976" s="6"/>
      <c r="C976" s="6"/>
      <c r="D976" s="6"/>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6">
      <c r="A977" s="3"/>
      <c r="B977" s="6"/>
      <c r="C977" s="6"/>
      <c r="D977" s="6"/>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6">
      <c r="A978" s="3"/>
      <c r="B978" s="6"/>
      <c r="C978" s="6"/>
      <c r="D978" s="6"/>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6">
      <c r="A979" s="3"/>
      <c r="B979" s="6"/>
      <c r="C979" s="6"/>
      <c r="D979" s="6"/>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6">
      <c r="A980" s="3"/>
      <c r="B980" s="6"/>
      <c r="C980" s="6"/>
      <c r="D980" s="6"/>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6">
      <c r="A981" s="3"/>
      <c r="B981" s="6"/>
      <c r="C981" s="6"/>
      <c r="D981" s="6"/>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6">
      <c r="A982" s="3"/>
      <c r="B982" s="6"/>
      <c r="C982" s="6"/>
      <c r="D982" s="6"/>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6">
      <c r="A983" s="3"/>
      <c r="B983" s="6"/>
      <c r="C983" s="6"/>
      <c r="D983" s="6"/>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6">
      <c r="A984" s="3"/>
      <c r="B984" s="6"/>
      <c r="C984" s="6"/>
      <c r="D984" s="6"/>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6">
      <c r="A985" s="3"/>
      <c r="B985" s="6"/>
      <c r="C985" s="6"/>
      <c r="D985" s="6"/>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6">
      <c r="A986" s="3"/>
      <c r="B986" s="6"/>
      <c r="C986" s="6"/>
      <c r="D986" s="6"/>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6">
      <c r="A987" s="3"/>
      <c r="B987" s="6"/>
      <c r="C987" s="6"/>
      <c r="D987" s="6"/>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6">
      <c r="A988" s="3"/>
      <c r="B988" s="6"/>
      <c r="C988" s="6"/>
      <c r="D988" s="6"/>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6">
      <c r="A989" s="3"/>
      <c r="B989" s="6"/>
      <c r="C989" s="6"/>
      <c r="D989" s="6"/>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6">
      <c r="A990" s="3"/>
      <c r="B990" s="6"/>
      <c r="C990" s="6"/>
      <c r="D990" s="6"/>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6">
      <c r="A991" s="3"/>
      <c r="B991" s="6"/>
      <c r="C991" s="6"/>
      <c r="D991" s="6"/>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6">
      <c r="A992" s="3"/>
      <c r="B992" s="6"/>
      <c r="C992" s="6"/>
      <c r="D992" s="6"/>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6">
      <c r="A993" s="3"/>
      <c r="B993" s="6"/>
      <c r="C993" s="6"/>
      <c r="D993" s="6"/>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6">
      <c r="A994" s="3"/>
      <c r="B994" s="6"/>
      <c r="C994" s="6"/>
      <c r="D994" s="6"/>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6">
      <c r="A995" s="3"/>
      <c r="B995" s="6"/>
      <c r="C995" s="6"/>
      <c r="D995" s="6"/>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6">
      <c r="A996" s="3"/>
      <c r="B996" s="6"/>
      <c r="C996" s="6"/>
      <c r="D996" s="6"/>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6">
      <c r="A997" s="3"/>
      <c r="B997" s="6"/>
      <c r="C997" s="6"/>
      <c r="D997" s="6"/>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6">
      <c r="A998" s="3"/>
      <c r="B998" s="6"/>
      <c r="C998" s="6"/>
      <c r="D998" s="6"/>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6">
      <c r="A999" s="3"/>
      <c r="B999" s="6"/>
      <c r="C999" s="6"/>
      <c r="D999" s="6"/>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6">
      <c r="A1000" s="3"/>
      <c r="B1000" s="6"/>
      <c r="C1000" s="6"/>
      <c r="D1000" s="6"/>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1:28" ht="16">
      <c r="A1001" s="3"/>
      <c r="B1001" s="6"/>
      <c r="C1001" s="6"/>
      <c r="D1001" s="6"/>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spans="1:28" ht="16">
      <c r="A1002" s="3"/>
      <c r="B1002" s="6"/>
      <c r="C1002" s="6"/>
      <c r="D1002" s="6"/>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spans="1:28" ht="16">
      <c r="A1003" s="3"/>
      <c r="B1003" s="6"/>
      <c r="C1003" s="6"/>
      <c r="D1003" s="6"/>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spans="1:28" ht="16">
      <c r="A1004" s="3"/>
      <c r="B1004" s="6"/>
      <c r="C1004" s="6"/>
      <c r="D1004" s="6"/>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spans="1:28" ht="16">
      <c r="A1005" s="3"/>
      <c r="B1005" s="6"/>
      <c r="C1005" s="6"/>
      <c r="D1005" s="6"/>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spans="1:28" ht="16">
      <c r="A1006" s="3"/>
      <c r="B1006" s="6"/>
      <c r="C1006" s="6"/>
      <c r="D1006" s="6"/>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row>
    <row r="1007" spans="1:28" ht="16">
      <c r="A1007" s="3"/>
      <c r="B1007" s="6"/>
      <c r="C1007" s="6"/>
      <c r="D1007" s="6"/>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row>
    <row r="1008" spans="1:28" ht="16">
      <c r="A1008" s="3"/>
      <c r="B1008" s="6"/>
      <c r="C1008" s="6"/>
      <c r="D1008" s="6"/>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row>
    <row r="1009" spans="1:28" ht="16">
      <c r="A1009" s="3"/>
      <c r="B1009" s="6"/>
      <c r="C1009" s="6"/>
      <c r="D1009" s="6"/>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row>
    <row r="1010" spans="1:28" ht="16">
      <c r="A1010" s="3"/>
      <c r="B1010" s="6"/>
      <c r="C1010" s="6"/>
      <c r="D1010" s="6"/>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row>
    <row r="1011" spans="1:28" ht="16">
      <c r="A1011" s="3"/>
      <c r="B1011" s="6"/>
      <c r="C1011" s="6"/>
      <c r="D1011" s="6"/>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row>
    <row r="1012" spans="1:28" ht="16">
      <c r="A1012" s="3"/>
      <c r="B1012" s="6"/>
      <c r="C1012" s="6"/>
      <c r="D1012" s="6"/>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row>
    <row r="1013" spans="1:28" ht="16">
      <c r="A1013" s="3"/>
      <c r="B1013" s="6"/>
      <c r="C1013" s="6"/>
      <c r="D1013" s="6"/>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row>
    <row r="1014" spans="1:28" ht="16">
      <c r="A1014" s="3"/>
      <c r="B1014" s="6"/>
      <c r="C1014" s="6"/>
      <c r="D1014" s="6"/>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row>
    <row r="1015" spans="1:28" ht="16">
      <c r="A1015" s="3"/>
      <c r="B1015" s="6"/>
      <c r="C1015" s="6"/>
      <c r="D1015" s="6"/>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row>
    <row r="1016" spans="1:28" ht="16">
      <c r="A1016" s="3"/>
      <c r="B1016" s="6"/>
      <c r="C1016" s="6"/>
      <c r="D1016" s="6"/>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row>
    <row r="1017" spans="1:28" ht="16">
      <c r="A1017" s="3"/>
      <c r="B1017" s="6"/>
      <c r="C1017" s="6"/>
      <c r="D1017" s="6"/>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row>
    <row r="1018" spans="1:28" ht="16">
      <c r="A1018" s="3"/>
      <c r="B1018" s="6"/>
      <c r="C1018" s="6"/>
      <c r="D1018" s="6"/>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row>
    <row r="1019" spans="1:28" ht="16">
      <c r="A1019" s="3"/>
      <c r="B1019" s="6"/>
      <c r="C1019" s="6"/>
      <c r="D1019" s="6"/>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row>
    <row r="1020" spans="1:28" ht="16">
      <c r="A1020" s="3"/>
      <c r="B1020" s="6"/>
      <c r="C1020" s="6"/>
      <c r="D1020" s="6"/>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row>
    <row r="1021" spans="1:28" ht="16">
      <c r="A1021" s="3"/>
      <c r="B1021" s="6"/>
      <c r="C1021" s="6"/>
      <c r="D1021" s="6"/>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row>
    <row r="1022" spans="1:28" ht="16">
      <c r="A1022" s="3"/>
      <c r="B1022" s="6"/>
      <c r="C1022" s="6"/>
      <c r="D1022" s="6"/>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row>
    <row r="1023" spans="1:28" ht="16">
      <c r="A1023" s="3"/>
      <c r="B1023" s="6"/>
      <c r="C1023" s="6"/>
      <c r="D1023" s="6"/>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row>
    <row r="1024" spans="1:28" ht="16">
      <c r="A1024" s="3"/>
      <c r="B1024" s="6"/>
      <c r="C1024" s="6"/>
      <c r="D1024" s="6"/>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row>
    <row r="1025" spans="1:28" ht="16">
      <c r="A1025" s="3"/>
      <c r="B1025" s="6"/>
      <c r="C1025" s="6"/>
      <c r="D1025" s="6"/>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row>
    <row r="1026" spans="1:28" ht="16">
      <c r="A1026" s="3"/>
      <c r="B1026" s="6"/>
      <c r="C1026" s="6"/>
      <c r="D1026" s="6"/>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row>
    <row r="1027" spans="1:28" ht="16">
      <c r="A1027" s="3"/>
      <c r="B1027" s="6"/>
      <c r="C1027" s="6"/>
      <c r="D1027" s="6"/>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row>
    <row r="1028" spans="1:28" ht="16">
      <c r="A1028" s="3"/>
      <c r="B1028" s="6"/>
      <c r="C1028" s="6"/>
      <c r="D1028" s="6"/>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row>
    <row r="1029" spans="1:28" ht="16">
      <c r="A1029" s="3"/>
      <c r="B1029" s="6"/>
      <c r="C1029" s="6"/>
      <c r="D1029" s="6"/>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row>
    <row r="1030" spans="1:28" ht="16">
      <c r="A1030" s="3"/>
      <c r="B1030" s="6"/>
      <c r="C1030" s="6"/>
      <c r="D1030" s="6"/>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row>
    <row r="1031" spans="1:28" ht="16">
      <c r="A1031" s="3"/>
      <c r="B1031" s="6"/>
      <c r="C1031" s="6"/>
      <c r="D1031" s="6"/>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row>
    <row r="1032" spans="1:28" ht="16">
      <c r="A1032" s="3"/>
      <c r="B1032" s="6"/>
      <c r="C1032" s="6"/>
      <c r="D1032" s="6"/>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row>
    <row r="1033" spans="1:28" ht="16">
      <c r="A1033" s="3"/>
      <c r="B1033" s="6"/>
      <c r="C1033" s="6"/>
      <c r="D1033" s="6"/>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row>
    <row r="1034" spans="1:28" ht="16">
      <c r="A1034" s="3"/>
      <c r="B1034" s="6"/>
      <c r="C1034" s="6"/>
      <c r="D1034" s="6"/>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row>
    <row r="1035" spans="1:28" ht="16">
      <c r="A1035" s="3"/>
      <c r="B1035" s="6"/>
      <c r="C1035" s="6"/>
      <c r="D1035" s="6"/>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row>
    <row r="1036" spans="1:28" ht="16">
      <c r="A1036" s="3"/>
      <c r="B1036" s="6"/>
      <c r="C1036" s="6"/>
      <c r="D1036" s="6"/>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row>
    <row r="1037" spans="1:28" ht="16">
      <c r="A1037" s="3"/>
      <c r="B1037" s="6"/>
      <c r="C1037" s="6"/>
      <c r="D1037" s="6"/>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row>
    <row r="1038" spans="1:28" ht="16">
      <c r="A1038" s="3"/>
      <c r="B1038" s="6"/>
      <c r="C1038" s="6"/>
      <c r="D1038" s="6"/>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row>
    <row r="1039" spans="1:28" ht="16">
      <c r="A1039" s="3"/>
      <c r="B1039" s="6"/>
      <c r="C1039" s="6"/>
      <c r="D1039" s="6"/>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row>
    <row r="1040" spans="1:28" ht="16">
      <c r="A1040" s="3"/>
      <c r="B1040" s="6"/>
      <c r="C1040" s="6"/>
      <c r="D1040" s="6"/>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row>
    <row r="1041" spans="1:28" ht="16">
      <c r="A1041" s="3"/>
      <c r="B1041" s="6"/>
      <c r="C1041" s="6"/>
      <c r="D1041" s="6"/>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row>
    <row r="1042" spans="1:28" ht="16">
      <c r="A1042" s="3"/>
      <c r="B1042" s="6"/>
      <c r="C1042" s="6"/>
      <c r="D1042" s="6"/>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row>
    <row r="1043" spans="1:28" ht="16">
      <c r="A1043" s="3"/>
      <c r="B1043" s="6"/>
      <c r="C1043" s="6"/>
      <c r="D1043" s="6"/>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row>
    <row r="1044" spans="1:28" ht="16">
      <c r="A1044" s="3"/>
      <c r="B1044" s="6"/>
      <c r="C1044" s="6"/>
      <c r="D1044" s="6"/>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row>
    <row r="1045" spans="1:28" ht="16">
      <c r="A1045" s="3"/>
      <c r="B1045" s="6"/>
      <c r="C1045" s="6"/>
      <c r="D1045" s="6"/>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row>
    <row r="1046" spans="1:28" ht="16">
      <c r="A1046" s="3"/>
      <c r="B1046" s="6"/>
      <c r="C1046" s="6"/>
      <c r="D1046" s="6"/>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row>
    <row r="1047" spans="1:28" ht="16">
      <c r="A1047" s="3"/>
      <c r="B1047" s="6"/>
      <c r="C1047" s="6"/>
      <c r="D1047" s="6"/>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row>
    <row r="1048" spans="1:28" ht="16">
      <c r="A1048" s="3"/>
      <c r="B1048" s="6"/>
      <c r="C1048" s="6"/>
      <c r="D1048" s="6"/>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row>
    <row r="1049" spans="1:28" ht="16">
      <c r="A1049" s="3"/>
      <c r="B1049" s="6"/>
      <c r="C1049" s="6"/>
      <c r="D1049" s="6"/>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row>
    <row r="1050" spans="1:28" ht="16">
      <c r="A1050" s="3"/>
      <c r="B1050" s="6"/>
      <c r="C1050" s="6"/>
      <c r="D1050" s="6"/>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row>
    <row r="1051" spans="1:28" ht="16">
      <c r="A1051" s="3"/>
      <c r="B1051" s="6"/>
      <c r="C1051" s="6"/>
      <c r="D1051" s="6"/>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row>
    <row r="1052" spans="1:28" ht="16">
      <c r="A1052" s="3"/>
      <c r="B1052" s="6"/>
      <c r="C1052" s="6"/>
      <c r="D1052" s="6"/>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row>
    <row r="1053" spans="1:28" ht="16">
      <c r="A1053" s="3"/>
      <c r="B1053" s="6"/>
      <c r="C1053" s="6"/>
      <c r="D1053" s="6"/>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row>
    <row r="1054" spans="1:28" ht="16">
      <c r="A1054" s="3"/>
      <c r="B1054" s="6"/>
      <c r="C1054" s="6"/>
      <c r="D1054" s="6"/>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row>
    <row r="1055" spans="1:28" ht="16">
      <c r="A1055" s="3"/>
      <c r="B1055" s="6"/>
      <c r="C1055" s="6"/>
      <c r="D1055" s="6"/>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row>
    <row r="1056" spans="1:28" ht="16">
      <c r="A1056" s="3"/>
      <c r="B1056" s="6"/>
      <c r="C1056" s="6"/>
      <c r="D1056" s="6"/>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row>
    <row r="1057" spans="1:28" ht="16">
      <c r="A1057" s="3"/>
      <c r="B1057" s="6"/>
      <c r="C1057" s="6"/>
      <c r="D1057" s="6"/>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row>
    <row r="1058" spans="1:28" ht="16">
      <c r="A1058" s="3"/>
      <c r="B1058" s="6"/>
      <c r="C1058" s="6"/>
      <c r="D1058" s="6"/>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row>
    <row r="1059" spans="1:28" ht="16">
      <c r="A1059" s="3"/>
      <c r="B1059" s="6"/>
      <c r="C1059" s="6"/>
      <c r="D1059" s="6"/>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row>
    <row r="1060" spans="1:28" ht="16">
      <c r="A1060" s="3"/>
      <c r="B1060" s="6"/>
      <c r="C1060" s="6"/>
      <c r="D1060" s="6"/>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row>
    <row r="1061" spans="1:28" ht="16">
      <c r="A1061" s="3"/>
      <c r="B1061" s="6"/>
      <c r="C1061" s="6"/>
      <c r="D1061" s="6"/>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row>
    <row r="1062" spans="1:28" ht="16">
      <c r="A1062" s="3"/>
      <c r="B1062" s="6"/>
      <c r="C1062" s="6"/>
      <c r="D1062" s="6"/>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row>
    <row r="1063" spans="1:28" ht="16">
      <c r="A1063" s="3"/>
      <c r="B1063" s="6"/>
      <c r="C1063" s="6"/>
      <c r="D1063" s="6"/>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row>
    <row r="1064" spans="1:28" ht="16">
      <c r="A1064" s="3"/>
      <c r="B1064" s="6"/>
      <c r="C1064" s="6"/>
      <c r="D1064" s="6"/>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row>
    <row r="1065" spans="1:28" ht="16">
      <c r="A1065" s="3"/>
      <c r="B1065" s="6"/>
      <c r="C1065" s="6"/>
      <c r="D1065" s="6"/>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row>
    <row r="1066" spans="1:28" ht="16">
      <c r="A1066" s="3"/>
      <c r="B1066" s="6"/>
      <c r="C1066" s="6"/>
      <c r="D1066" s="6"/>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row>
    <row r="1067" spans="1:28" ht="16">
      <c r="A1067" s="3"/>
      <c r="B1067" s="6"/>
      <c r="C1067" s="6"/>
      <c r="D1067" s="6"/>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row>
    <row r="1068" spans="1:28" ht="16">
      <c r="A1068" s="3"/>
      <c r="B1068" s="6"/>
      <c r="C1068" s="6"/>
      <c r="D1068" s="6"/>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row>
    <row r="1069" spans="1:28" ht="16">
      <c r="A1069" s="3"/>
      <c r="B1069" s="6"/>
      <c r="C1069" s="6"/>
      <c r="D1069" s="6"/>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row>
    <row r="1070" spans="1:28" ht="16">
      <c r="A1070" s="3"/>
      <c r="B1070" s="6"/>
      <c r="C1070" s="6"/>
      <c r="D1070" s="6"/>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row>
    <row r="1071" spans="1:28" ht="16">
      <c r="A1071" s="3"/>
      <c r="B1071" s="6"/>
      <c r="C1071" s="6"/>
      <c r="D1071" s="6"/>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row>
    <row r="1072" spans="1:28" ht="16">
      <c r="A1072" s="3"/>
      <c r="B1072" s="6"/>
      <c r="C1072" s="6"/>
      <c r="D1072" s="6"/>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row>
    <row r="1073" spans="1:28" ht="16">
      <c r="A1073" s="3"/>
      <c r="B1073" s="6"/>
      <c r="C1073" s="6"/>
      <c r="D1073" s="6"/>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row>
    <row r="1074" spans="1:28" ht="16">
      <c r="A1074" s="3"/>
      <c r="B1074" s="6"/>
      <c r="C1074" s="6"/>
      <c r="D1074" s="6"/>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row>
    <row r="1075" spans="1:28" ht="16">
      <c r="A1075" s="3"/>
      <c r="B1075" s="6"/>
      <c r="C1075" s="6"/>
      <c r="D1075" s="6"/>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row>
  </sheetData>
  <mergeCells count="2">
    <mergeCell ref="G4:L4"/>
    <mergeCell ref="A67:F67"/>
  </mergeCells>
  <hyperlinks>
    <hyperlink ref="B88" r:id="rId1" xr:uid="{00000000-0004-0000-1C00-000000000000}"/>
    <hyperlink ref="B89" r:id="rId2" xr:uid="{00000000-0004-0000-1C00-000001000000}"/>
    <hyperlink ref="B90" r:id="rId3" xr:uid="{00000000-0004-0000-1C00-000002000000}"/>
    <hyperlink ref="B91" r:id="rId4" xr:uid="{00000000-0004-0000-1C00-000003000000}"/>
    <hyperlink ref="B92" r:id="rId5" xr:uid="{00000000-0004-0000-1C00-000004000000}"/>
    <hyperlink ref="B93" r:id="rId6" xr:uid="{00000000-0004-0000-1C00-000005000000}"/>
    <hyperlink ref="B94" r:id="rId7" location="productDetails" xr:uid="{00000000-0004-0000-1C00-000006000000}"/>
    <hyperlink ref="B95" r:id="rId8" xr:uid="{00000000-0004-0000-1C00-000007000000}"/>
    <hyperlink ref="B96" r:id="rId9" xr:uid="{00000000-0004-0000-1C00-000008000000}"/>
    <hyperlink ref="B97" r:id="rId10" xr:uid="{00000000-0004-0000-1C00-000009000000}"/>
    <hyperlink ref="B98" r:id="rId11" xr:uid="{00000000-0004-0000-1C00-00000A000000}"/>
    <hyperlink ref="B99" r:id="rId12" xr:uid="{00000000-0004-0000-1C00-00000B000000}"/>
    <hyperlink ref="B100" r:id="rId13" xr:uid="{00000000-0004-0000-1C00-00000C000000}"/>
    <hyperlink ref="B101" r:id="rId14" xr:uid="{00000000-0004-0000-1C00-00000D000000}"/>
    <hyperlink ref="B102" r:id="rId15" xr:uid="{00000000-0004-0000-1C00-00000E000000}"/>
    <hyperlink ref="B103" r:id="rId16" xr:uid="{00000000-0004-0000-1C00-00000F000000}"/>
    <hyperlink ref="B104" r:id="rId17" xr:uid="{00000000-0004-0000-1C00-000010000000}"/>
    <hyperlink ref="B105" r:id="rId18" xr:uid="{00000000-0004-0000-1C00-000011000000}"/>
    <hyperlink ref="B106" r:id="rId19" xr:uid="{00000000-0004-0000-1C00-000012000000}"/>
    <hyperlink ref="B107" r:id="rId20" xr:uid="{00000000-0004-0000-1C00-000013000000}"/>
    <hyperlink ref="B108" r:id="rId21" xr:uid="{00000000-0004-0000-1C00-000014000000}"/>
    <hyperlink ref="B109" r:id="rId22" xr:uid="{00000000-0004-0000-1C00-000015000000}"/>
    <hyperlink ref="B110" r:id="rId23" xr:uid="{00000000-0004-0000-1C00-000016000000}"/>
    <hyperlink ref="B112" r:id="rId24" xr:uid="{00000000-0004-0000-1C00-000017000000}"/>
    <hyperlink ref="B113" r:id="rId25" xr:uid="{00000000-0004-0000-1C00-000018000000}"/>
    <hyperlink ref="B114" r:id="rId26" xr:uid="{00000000-0004-0000-1C00-000019000000}"/>
    <hyperlink ref="A1" location="Index!A1" display="Index" xr:uid="{F08C1821-A04D-4546-8277-AF378C8974C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outlinePr summaryBelow="0" summaryRight="0"/>
  </sheetPr>
  <dimension ref="A1:N59"/>
  <sheetViews>
    <sheetView workbookViewId="0"/>
  </sheetViews>
  <sheetFormatPr baseColWidth="10" defaultColWidth="14.33203125" defaultRowHeight="15.75" customHeight="1"/>
  <cols>
    <col min="1" max="1" width="67.33203125" customWidth="1"/>
    <col min="2" max="7" width="17.33203125" customWidth="1"/>
    <col min="8" max="8" width="22.5" customWidth="1"/>
    <col min="9" max="9" width="60" customWidth="1"/>
    <col min="10" max="10" width="41" customWidth="1"/>
    <col min="11" max="11" width="16.6640625" customWidth="1"/>
    <col min="12" max="12" width="13.83203125" customWidth="1"/>
    <col min="13" max="13" width="16.33203125" customWidth="1"/>
    <col min="17" max="17" width="19.5" customWidth="1"/>
  </cols>
  <sheetData>
    <row r="1" spans="1:14" ht="26" customHeight="1">
      <c r="A1" s="438" t="s">
        <v>0</v>
      </c>
      <c r="H1" s="1"/>
    </row>
    <row r="2" spans="1:14" ht="15.75" customHeight="1" thickBot="1"/>
    <row r="3" spans="1:14" ht="19" customHeight="1" thickBot="1">
      <c r="A3" s="1077" t="s">
        <v>647</v>
      </c>
      <c r="B3" s="1078" t="s">
        <v>336</v>
      </c>
      <c r="C3" s="1079" t="s">
        <v>376</v>
      </c>
      <c r="D3" s="1079" t="s">
        <v>379</v>
      </c>
      <c r="E3" s="1079" t="s">
        <v>382</v>
      </c>
      <c r="F3" s="1079" t="s">
        <v>383</v>
      </c>
      <c r="G3" s="1080" t="s">
        <v>384</v>
      </c>
    </row>
    <row r="4" spans="1:14" ht="19" customHeight="1">
      <c r="A4" s="1076" t="s">
        <v>648</v>
      </c>
      <c r="B4" s="1825">
        <f>(C4/12)*2</f>
        <v>13333.333333333334</v>
      </c>
      <c r="C4" s="1826">
        <v>80000</v>
      </c>
      <c r="D4" s="1827">
        <f t="shared" ref="D4:G4" si="0">C4*1.03</f>
        <v>82400</v>
      </c>
      <c r="E4" s="1827">
        <f t="shared" si="0"/>
        <v>84872</v>
      </c>
      <c r="F4" s="1827">
        <f t="shared" si="0"/>
        <v>87418.16</v>
      </c>
      <c r="G4" s="1828">
        <f t="shared" si="0"/>
        <v>90040.704800000007</v>
      </c>
    </row>
    <row r="5" spans="1:14" ht="19" customHeight="1">
      <c r="A5" s="1072" t="s">
        <v>649</v>
      </c>
      <c r="B5" s="1829"/>
      <c r="C5" s="1830"/>
      <c r="D5" s="1830"/>
      <c r="E5" s="1831">
        <v>43000</v>
      </c>
      <c r="F5" s="1831">
        <f t="shared" ref="F5:G5" si="1">E5*1.03</f>
        <v>44290</v>
      </c>
      <c r="G5" s="1832">
        <f t="shared" si="1"/>
        <v>45618.700000000004</v>
      </c>
    </row>
    <row r="6" spans="1:14" ht="19" customHeight="1">
      <c r="A6" s="1072" t="s">
        <v>650</v>
      </c>
      <c r="B6" s="1829"/>
      <c r="C6" s="1830"/>
      <c r="D6" s="1830"/>
      <c r="E6" s="1831">
        <v>82000</v>
      </c>
      <c r="F6" s="1831">
        <f t="shared" ref="F6:G6" si="2">E6*1.03</f>
        <v>84460</v>
      </c>
      <c r="G6" s="1832">
        <f t="shared" si="2"/>
        <v>86993.8</v>
      </c>
    </row>
    <row r="7" spans="1:14" ht="19" customHeight="1">
      <c r="A7" s="1072" t="s">
        <v>851</v>
      </c>
      <c r="B7" s="1833">
        <f>'OM Aggregate Hybrid Plan Y0-5'!P18</f>
        <v>6240</v>
      </c>
      <c r="C7" s="1831">
        <f>'OM Aggregate Hybrid Plan Y0-5'!P42</f>
        <v>24960</v>
      </c>
      <c r="D7" s="1831">
        <f>'OM Aggregate Hybrid Plan Y0-5'!P67</f>
        <v>49920</v>
      </c>
      <c r="E7" s="1831">
        <f>'OM Aggregate Hybrid Plan Y0-5'!P93</f>
        <v>124800</v>
      </c>
      <c r="F7" s="1831">
        <f>'OM Aggregate Hybrid Plan Y0-5'!P118</f>
        <v>149760</v>
      </c>
      <c r="G7" s="1832">
        <f>'OM Aggregate Hybrid Plan Y0-5'!P143</f>
        <v>174720</v>
      </c>
      <c r="H7" s="322"/>
      <c r="I7" s="322"/>
    </row>
    <row r="8" spans="1:14" ht="19" customHeight="1">
      <c r="A8" s="1072" t="s">
        <v>651</v>
      </c>
      <c r="B8" s="1829"/>
      <c r="C8" s="1834">
        <f>'OM Aggregate Hybrid Plan Y0-5'!P44</f>
        <v>11124</v>
      </c>
      <c r="D8" s="1831">
        <f>'OM Aggregate Hybrid Plan Y0-5'!P69</f>
        <v>11124</v>
      </c>
      <c r="E8" s="1831">
        <f>'OM Aggregate Hybrid Plan Y0-5'!P95</f>
        <v>14832</v>
      </c>
      <c r="F8" s="1831">
        <f>'OM Aggregate Hybrid Plan Y0-5'!P120</f>
        <v>25956</v>
      </c>
      <c r="G8" s="1832">
        <f>'OM Aggregate Hybrid Plan Y0-5'!P145</f>
        <v>44496.000000000007</v>
      </c>
    </row>
    <row r="9" spans="1:14" ht="19" customHeight="1">
      <c r="A9" s="1072" t="s">
        <v>652</v>
      </c>
      <c r="B9" s="1833">
        <f>((C9/8)/12)*4</f>
        <v>9013.3333333333339</v>
      </c>
      <c r="C9" s="1831">
        <f>8*(13*40*52)</f>
        <v>216320</v>
      </c>
      <c r="D9" s="1831">
        <f t="shared" ref="D9:G9" si="3">C9*1.03</f>
        <v>222809.60000000001</v>
      </c>
      <c r="E9" s="1831">
        <f t="shared" si="3"/>
        <v>229493.88800000001</v>
      </c>
      <c r="F9" s="1831">
        <f t="shared" si="3"/>
        <v>236378.70464000001</v>
      </c>
      <c r="G9" s="1832">
        <f t="shared" si="3"/>
        <v>243470.06577920003</v>
      </c>
    </row>
    <row r="10" spans="1:14" ht="19" customHeight="1">
      <c r="A10" s="1072" t="s">
        <v>653</v>
      </c>
      <c r="B10" s="1833">
        <f t="shared" ref="B10:B11" si="4">(C10/12)*3</f>
        <v>27500</v>
      </c>
      <c r="C10" s="1835">
        <v>110000</v>
      </c>
      <c r="D10" s="1831">
        <f t="shared" ref="D10:G10" si="5">C10*1.03</f>
        <v>113300</v>
      </c>
      <c r="E10" s="1831">
        <f t="shared" si="5"/>
        <v>116699</v>
      </c>
      <c r="F10" s="1831">
        <f t="shared" si="5"/>
        <v>120199.97</v>
      </c>
      <c r="G10" s="1832">
        <f t="shared" si="5"/>
        <v>123805.9691</v>
      </c>
      <c r="J10" s="188"/>
    </row>
    <row r="11" spans="1:14" ht="19" customHeight="1">
      <c r="A11" s="1073" t="s">
        <v>654</v>
      </c>
      <c r="B11" s="1833">
        <f t="shared" si="4"/>
        <v>11250</v>
      </c>
      <c r="C11" s="1835">
        <v>45000</v>
      </c>
      <c r="D11" s="1831">
        <f t="shared" ref="D11:G11" si="6">1.03*C11</f>
        <v>46350</v>
      </c>
      <c r="E11" s="1831">
        <f t="shared" si="6"/>
        <v>47740.5</v>
      </c>
      <c r="F11" s="1831">
        <f t="shared" si="6"/>
        <v>49172.715000000004</v>
      </c>
      <c r="G11" s="1832">
        <f t="shared" si="6"/>
        <v>50647.896450000007</v>
      </c>
      <c r="J11" s="188"/>
      <c r="N11" s="1"/>
    </row>
    <row r="12" spans="1:14" ht="19" customHeight="1">
      <c r="A12" s="1073" t="s">
        <v>655</v>
      </c>
      <c r="B12" s="1829"/>
      <c r="C12" s="1831">
        <f>35100*2</f>
        <v>70200</v>
      </c>
      <c r="D12" s="1831">
        <f t="shared" ref="D12:G12" si="7">C12*1.03</f>
        <v>72306</v>
      </c>
      <c r="E12" s="1831">
        <f t="shared" si="7"/>
        <v>74475.180000000008</v>
      </c>
      <c r="F12" s="1831">
        <f t="shared" si="7"/>
        <v>76709.435400000017</v>
      </c>
      <c r="G12" s="1832">
        <f t="shared" si="7"/>
        <v>79010.718462000019</v>
      </c>
      <c r="J12" s="1"/>
      <c r="K12" s="1"/>
      <c r="L12" s="1"/>
      <c r="M12" s="1"/>
      <c r="N12" s="1"/>
    </row>
    <row r="13" spans="1:14" ht="19" customHeight="1">
      <c r="A13" s="1073" t="s">
        <v>656</v>
      </c>
      <c r="B13" s="1833">
        <f>(C13/12)*3</f>
        <v>22000</v>
      </c>
      <c r="C13" s="1835">
        <v>88000</v>
      </c>
      <c r="D13" s="1831">
        <f t="shared" ref="D13:G13" si="8">C13*1.03</f>
        <v>90640</v>
      </c>
      <c r="E13" s="1831">
        <f t="shared" si="8"/>
        <v>93359.2</v>
      </c>
      <c r="F13" s="1831">
        <f t="shared" si="8"/>
        <v>96159.975999999995</v>
      </c>
      <c r="G13" s="1832">
        <f t="shared" si="8"/>
        <v>99044.775280000002</v>
      </c>
      <c r="J13" s="1"/>
      <c r="K13" s="1"/>
      <c r="L13" s="1"/>
      <c r="M13" s="1"/>
      <c r="N13" s="1"/>
    </row>
    <row r="14" spans="1:14" ht="19" customHeight="1">
      <c r="A14" s="1072" t="s">
        <v>657</v>
      </c>
      <c r="B14" s="1829"/>
      <c r="C14" s="1830"/>
      <c r="D14" s="1830"/>
      <c r="E14" s="1831">
        <v>93000</v>
      </c>
      <c r="F14" s="1831">
        <f t="shared" ref="F14:G14" si="9">E14*1.03</f>
        <v>95790</v>
      </c>
      <c r="G14" s="1832">
        <f t="shared" si="9"/>
        <v>98663.7</v>
      </c>
      <c r="I14" s="700"/>
    </row>
    <row r="15" spans="1:14" ht="19" customHeight="1">
      <c r="A15" s="1072" t="s">
        <v>658</v>
      </c>
      <c r="B15" s="1833">
        <f>(C15/12)*3</f>
        <v>23250</v>
      </c>
      <c r="C15" s="1835">
        <v>93000</v>
      </c>
      <c r="D15" s="1831">
        <f t="shared" ref="D15:G15" si="10">C15*1.03</f>
        <v>95790</v>
      </c>
      <c r="E15" s="1831">
        <f t="shared" si="10"/>
        <v>98663.7</v>
      </c>
      <c r="F15" s="1831">
        <f t="shared" si="10"/>
        <v>101623.611</v>
      </c>
      <c r="G15" s="1832">
        <f t="shared" si="10"/>
        <v>104672.31933000001</v>
      </c>
    </row>
    <row r="16" spans="1:14" ht="19" customHeight="1" thickBot="1">
      <c r="A16" s="1074" t="s">
        <v>659</v>
      </c>
      <c r="B16" s="1836"/>
      <c r="C16" s="1837"/>
      <c r="D16" s="1837"/>
      <c r="E16" s="1838">
        <v>93000</v>
      </c>
      <c r="F16" s="1838">
        <f t="shared" ref="F16:G16" si="11">E16*1.03</f>
        <v>95790</v>
      </c>
      <c r="G16" s="1839">
        <f t="shared" si="11"/>
        <v>98663.7</v>
      </c>
    </row>
    <row r="17" spans="1:9" ht="19" customHeight="1" thickBot="1">
      <c r="A17" s="1075" t="s">
        <v>381</v>
      </c>
      <c r="B17" s="1840">
        <f>SUM(B4:B16)</f>
        <v>112586.66666666667</v>
      </c>
      <c r="C17" s="1840">
        <f>SUM(C3:C16)</f>
        <v>738604</v>
      </c>
      <c r="D17" s="1840">
        <f t="shared" ref="D17:G17" si="12">SUM(D4:D16)</f>
        <v>784639.6</v>
      </c>
      <c r="E17" s="1840">
        <f t="shared" si="12"/>
        <v>1195935.4680000001</v>
      </c>
      <c r="F17" s="1840">
        <f t="shared" si="12"/>
        <v>1263708.57204</v>
      </c>
      <c r="G17" s="1841">
        <f t="shared" si="12"/>
        <v>1339848.3492012001</v>
      </c>
    </row>
    <row r="18" spans="1:9" ht="19" customHeight="1" thickBot="1">
      <c r="A18" s="986"/>
      <c r="B18" s="855"/>
      <c r="C18" s="855"/>
      <c r="D18" s="855"/>
      <c r="E18" s="855"/>
      <c r="F18" s="855"/>
      <c r="G18" s="855"/>
    </row>
    <row r="19" spans="1:9" ht="19" customHeight="1" thickBot="1">
      <c r="A19" s="1082" t="s">
        <v>660</v>
      </c>
      <c r="B19" s="1083" t="s">
        <v>661</v>
      </c>
      <c r="C19" s="1083" t="s">
        <v>376</v>
      </c>
      <c r="D19" s="1083" t="s">
        <v>379</v>
      </c>
      <c r="E19" s="1083" t="s">
        <v>382</v>
      </c>
      <c r="F19" s="1083" t="s">
        <v>383</v>
      </c>
      <c r="G19" s="1084" t="s">
        <v>384</v>
      </c>
    </row>
    <row r="20" spans="1:9" ht="19" customHeight="1">
      <c r="A20" s="1081" t="str">
        <f t="shared" ref="A20:A23" si="13">A4</f>
        <v>Plant Manager</v>
      </c>
      <c r="B20" s="1827">
        <f t="shared" ref="B20:G20" si="14">B4*0.3</f>
        <v>4000</v>
      </c>
      <c r="C20" s="1827">
        <f t="shared" si="14"/>
        <v>24000</v>
      </c>
      <c r="D20" s="1827">
        <f t="shared" si="14"/>
        <v>24720</v>
      </c>
      <c r="E20" s="1827">
        <f t="shared" si="14"/>
        <v>25461.599999999999</v>
      </c>
      <c r="F20" s="1827">
        <f t="shared" si="14"/>
        <v>26225.448</v>
      </c>
      <c r="G20" s="1828">
        <f t="shared" si="14"/>
        <v>27012.211440000003</v>
      </c>
    </row>
    <row r="21" spans="1:9" ht="19" customHeight="1">
      <c r="A21" s="1071" t="str">
        <f t="shared" si="13"/>
        <v>Floor Manager</v>
      </c>
      <c r="B21" s="1830"/>
      <c r="C21" s="1830"/>
      <c r="D21" s="1830"/>
      <c r="E21" s="1831">
        <f t="shared" ref="E21:G21" si="15">E5*0.3</f>
        <v>12900</v>
      </c>
      <c r="F21" s="1831">
        <f t="shared" si="15"/>
        <v>13287</v>
      </c>
      <c r="G21" s="1832">
        <f t="shared" si="15"/>
        <v>13685.61</v>
      </c>
      <c r="H21" s="703"/>
      <c r="I21" s="703"/>
    </row>
    <row r="22" spans="1:9" ht="19" customHeight="1">
      <c r="A22" s="1071" t="str">
        <f t="shared" si="13"/>
        <v>Quality Assurance Manager</v>
      </c>
      <c r="B22" s="1830"/>
      <c r="C22" s="1830"/>
      <c r="D22" s="1830"/>
      <c r="E22" s="1831">
        <f t="shared" ref="E22:G22" si="16">E6*0.3</f>
        <v>24600</v>
      </c>
      <c r="F22" s="1831">
        <f t="shared" si="16"/>
        <v>25338</v>
      </c>
      <c r="G22" s="1832">
        <f t="shared" si="16"/>
        <v>26098.14</v>
      </c>
      <c r="H22" s="703"/>
      <c r="I22" s="703"/>
    </row>
    <row r="23" spans="1:9" ht="19" customHeight="1">
      <c r="A23" s="1071" t="str">
        <f t="shared" si="13"/>
        <v>FULL-Time Assembly Workers (1,1,2,5,6,7)</v>
      </c>
      <c r="B23" s="1831">
        <f t="shared" ref="B23:G23" si="17">B7*0.3</f>
        <v>1872</v>
      </c>
      <c r="C23" s="1831">
        <f t="shared" si="17"/>
        <v>7488</v>
      </c>
      <c r="D23" s="1831">
        <f t="shared" si="17"/>
        <v>14976</v>
      </c>
      <c r="E23" s="1831">
        <f t="shared" si="17"/>
        <v>37440</v>
      </c>
      <c r="F23" s="1831">
        <f t="shared" si="17"/>
        <v>44928</v>
      </c>
      <c r="G23" s="1832">
        <f t="shared" si="17"/>
        <v>52416</v>
      </c>
    </row>
    <row r="24" spans="1:9" ht="19" customHeight="1">
      <c r="A24" s="1071" t="str">
        <f t="shared" ref="A24:A25" si="18">A9</f>
        <v>FULL-Time Manufacturing Workers (x8)</v>
      </c>
      <c r="B24" s="1831">
        <f t="shared" ref="B24:G24" si="19">B9*0.3</f>
        <v>2704</v>
      </c>
      <c r="C24" s="1831">
        <f t="shared" si="19"/>
        <v>64896</v>
      </c>
      <c r="D24" s="1831">
        <f t="shared" si="19"/>
        <v>66842.880000000005</v>
      </c>
      <c r="E24" s="1831">
        <f t="shared" si="19"/>
        <v>68848.166400000002</v>
      </c>
      <c r="F24" s="1831">
        <f t="shared" si="19"/>
        <v>70913.611392000006</v>
      </c>
      <c r="G24" s="1832">
        <f t="shared" si="19"/>
        <v>73041.019733760011</v>
      </c>
    </row>
    <row r="25" spans="1:9" ht="19" customHeight="1">
      <c r="A25" s="1071" t="str">
        <f t="shared" si="18"/>
        <v>CEO</v>
      </c>
      <c r="B25" s="1831">
        <f t="shared" ref="B25:G25" si="20">B10*0.3</f>
        <v>8250</v>
      </c>
      <c r="C25" s="1831">
        <f t="shared" si="20"/>
        <v>33000</v>
      </c>
      <c r="D25" s="1831">
        <f t="shared" si="20"/>
        <v>33990</v>
      </c>
      <c r="E25" s="1831">
        <f t="shared" si="20"/>
        <v>35009.699999999997</v>
      </c>
      <c r="F25" s="1831">
        <f t="shared" si="20"/>
        <v>36059.991000000002</v>
      </c>
      <c r="G25" s="1832">
        <f t="shared" si="20"/>
        <v>37141.790730000001</v>
      </c>
    </row>
    <row r="26" spans="1:9" ht="19" customHeight="1">
      <c r="A26" s="1071" t="str">
        <f>A13</f>
        <v>Mechanical Engineer</v>
      </c>
      <c r="B26" s="1831">
        <f t="shared" ref="B26:G26" si="21">B13*0.3</f>
        <v>6600</v>
      </c>
      <c r="C26" s="1831">
        <f t="shared" si="21"/>
        <v>26400</v>
      </c>
      <c r="D26" s="1831">
        <f t="shared" si="21"/>
        <v>27192</v>
      </c>
      <c r="E26" s="1831">
        <f t="shared" si="21"/>
        <v>28007.759999999998</v>
      </c>
      <c r="F26" s="1831">
        <f t="shared" si="21"/>
        <v>28847.992799999996</v>
      </c>
      <c r="G26" s="1832">
        <f t="shared" si="21"/>
        <v>29713.432583999998</v>
      </c>
    </row>
    <row r="27" spans="1:9" ht="19" customHeight="1">
      <c r="A27" s="1071" t="str">
        <f>A12</f>
        <v>Customer Service Team (2 in y1-2, 4 in yr 3-5)</v>
      </c>
      <c r="B27" s="1830"/>
      <c r="C27" s="1831">
        <f t="shared" ref="C27:G27" si="22">C12*0.3</f>
        <v>21060</v>
      </c>
      <c r="D27" s="1831">
        <f t="shared" si="22"/>
        <v>21691.8</v>
      </c>
      <c r="E27" s="1831">
        <f t="shared" si="22"/>
        <v>22342.554</v>
      </c>
      <c r="F27" s="1831">
        <f t="shared" si="22"/>
        <v>23012.830620000004</v>
      </c>
      <c r="G27" s="1832">
        <f t="shared" si="22"/>
        <v>23703.215538600005</v>
      </c>
    </row>
    <row r="28" spans="1:9" ht="19" customHeight="1">
      <c r="A28" s="1071" t="str">
        <f>A11</f>
        <v>Accounting Clerk</v>
      </c>
      <c r="B28" s="1831">
        <f t="shared" ref="B28:G28" si="23">B11*0.3</f>
        <v>3375</v>
      </c>
      <c r="C28" s="1831">
        <f t="shared" si="23"/>
        <v>13500</v>
      </c>
      <c r="D28" s="1831">
        <f t="shared" si="23"/>
        <v>13905</v>
      </c>
      <c r="E28" s="1831">
        <f t="shared" si="23"/>
        <v>14322.15</v>
      </c>
      <c r="F28" s="1831">
        <f t="shared" si="23"/>
        <v>14751.8145</v>
      </c>
      <c r="G28" s="1832">
        <f t="shared" si="23"/>
        <v>15194.368935000002</v>
      </c>
    </row>
    <row r="29" spans="1:9" ht="19" customHeight="1">
      <c r="A29" s="1071" t="str">
        <f t="shared" ref="A29:A31" si="24">A14</f>
        <v>CFO/Financial Manager</v>
      </c>
      <c r="B29" s="1830"/>
      <c r="C29" s="1830"/>
      <c r="D29" s="1830"/>
      <c r="E29" s="1831">
        <f t="shared" ref="E29:G29" si="25">E14*0.3</f>
        <v>27900</v>
      </c>
      <c r="F29" s="1831">
        <f t="shared" si="25"/>
        <v>28737</v>
      </c>
      <c r="G29" s="1832">
        <f t="shared" si="25"/>
        <v>29599.109999999997</v>
      </c>
    </row>
    <row r="30" spans="1:9" ht="19" customHeight="1">
      <c r="A30" s="1071" t="str">
        <f t="shared" si="24"/>
        <v>COO/Operating Manager</v>
      </c>
      <c r="B30" s="1831">
        <f t="shared" ref="B30:G30" si="26">B15*0.3</f>
        <v>6975</v>
      </c>
      <c r="C30" s="1831">
        <f t="shared" si="26"/>
        <v>27900</v>
      </c>
      <c r="D30" s="1831">
        <f t="shared" si="26"/>
        <v>28737</v>
      </c>
      <c r="E30" s="1831">
        <f t="shared" si="26"/>
        <v>29599.109999999997</v>
      </c>
      <c r="F30" s="1831">
        <f t="shared" si="26"/>
        <v>30487.083299999998</v>
      </c>
      <c r="G30" s="1832">
        <f t="shared" si="26"/>
        <v>31401.695799000001</v>
      </c>
    </row>
    <row r="31" spans="1:9" ht="19" customHeight="1" thickBot="1">
      <c r="A31" s="1085" t="str">
        <f t="shared" si="24"/>
        <v>CMO/Marketing Manager</v>
      </c>
      <c r="B31" s="1842"/>
      <c r="C31" s="1842"/>
      <c r="D31" s="1842"/>
      <c r="E31" s="1843">
        <f t="shared" ref="E31:G31" si="27">E16*0.3</f>
        <v>27900</v>
      </c>
      <c r="F31" s="1843">
        <f t="shared" si="27"/>
        <v>28737</v>
      </c>
      <c r="G31" s="1844">
        <f t="shared" si="27"/>
        <v>29599.109999999997</v>
      </c>
    </row>
    <row r="32" spans="1:9" ht="19" customHeight="1" thickBot="1">
      <c r="A32" s="1086" t="s">
        <v>381</v>
      </c>
      <c r="B32" s="1845">
        <f>SUM(B20:B31)</f>
        <v>33776</v>
      </c>
      <c r="C32" s="1845">
        <f t="shared" ref="C32:G32" si="28">SUM(C20:C31)</f>
        <v>218244</v>
      </c>
      <c r="D32" s="1845">
        <f t="shared" si="28"/>
        <v>232054.68</v>
      </c>
      <c r="E32" s="1845">
        <f t="shared" si="28"/>
        <v>354331.04040000006</v>
      </c>
      <c r="F32" s="1845">
        <f t="shared" si="28"/>
        <v>371325.77161200001</v>
      </c>
      <c r="G32" s="1846">
        <f t="shared" si="28"/>
        <v>388605.70476035995</v>
      </c>
    </row>
    <row r="33" spans="1:7" ht="19" customHeight="1" thickBot="1">
      <c r="A33" s="6"/>
      <c r="B33" s="207"/>
      <c r="C33" s="207"/>
      <c r="D33" s="207"/>
      <c r="E33" s="207"/>
      <c r="F33" s="207"/>
      <c r="G33" s="207"/>
    </row>
    <row r="34" spans="1:7" ht="19" customHeight="1">
      <c r="A34" s="1070" t="s">
        <v>662</v>
      </c>
      <c r="B34" s="1823">
        <f t="shared" ref="B34:G34" si="29">B17+B32</f>
        <v>146362.66666666669</v>
      </c>
      <c r="C34" s="1823">
        <f t="shared" si="29"/>
        <v>956848</v>
      </c>
      <c r="D34" s="1823">
        <f t="shared" si="29"/>
        <v>1016694.28</v>
      </c>
      <c r="E34" s="1823">
        <f t="shared" si="29"/>
        <v>1550266.5084000002</v>
      </c>
      <c r="F34" s="1823">
        <f t="shared" si="29"/>
        <v>1635034.343652</v>
      </c>
      <c r="G34" s="1824">
        <f t="shared" si="29"/>
        <v>1728454.0539615601</v>
      </c>
    </row>
    <row r="36" spans="1:7" ht="13">
      <c r="A36" s="700"/>
    </row>
    <row r="41" spans="1:7" ht="13">
      <c r="B41" s="170"/>
      <c r="C41" s="170"/>
      <c r="E41" s="270"/>
    </row>
    <row r="42" spans="1:7" ht="13">
      <c r="B42" s="170"/>
      <c r="C42" s="170"/>
      <c r="E42" s="270"/>
    </row>
    <row r="43" spans="1:7" ht="13">
      <c r="B43" s="170"/>
      <c r="C43" s="170"/>
      <c r="E43" s="270"/>
    </row>
    <row r="44" spans="1:7" ht="13">
      <c r="B44" s="170"/>
      <c r="C44" s="170"/>
      <c r="E44" s="270"/>
    </row>
    <row r="45" spans="1:7" ht="13">
      <c r="B45" s="170"/>
      <c r="C45" s="170"/>
      <c r="E45" s="270"/>
    </row>
    <row r="46" spans="1:7" ht="13">
      <c r="B46" s="170"/>
      <c r="C46" s="170"/>
      <c r="E46" s="704"/>
    </row>
    <row r="47" spans="1:7" ht="13">
      <c r="B47" s="170"/>
      <c r="C47" s="170"/>
      <c r="E47" s="270"/>
    </row>
    <row r="48" spans="1:7" ht="13">
      <c r="B48" s="170"/>
      <c r="C48" s="170"/>
      <c r="E48" s="705"/>
    </row>
    <row r="49" spans="1:5" ht="13">
      <c r="B49" s="170"/>
      <c r="C49" s="170"/>
      <c r="E49" s="706"/>
    </row>
    <row r="50" spans="1:5" ht="13">
      <c r="B50" s="170"/>
      <c r="C50" s="170"/>
      <c r="D50" s="707"/>
      <c r="E50" s="270"/>
    </row>
    <row r="52" spans="1:5" ht="13">
      <c r="A52" s="1"/>
    </row>
    <row r="59" spans="1:5" ht="13">
      <c r="B59" s="16"/>
      <c r="C59" s="16"/>
    </row>
  </sheetData>
  <hyperlinks>
    <hyperlink ref="A1" location="Index!A1" display="Index" xr:uid="{DDF6F2AD-265E-B946-9ADA-098C6C4E196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outlinePr summaryBelow="0" summaryRight="0"/>
  </sheetPr>
  <dimension ref="A1:H43"/>
  <sheetViews>
    <sheetView zoomScale="64" workbookViewId="0">
      <selection activeCell="A6" sqref="A6:G13"/>
    </sheetView>
  </sheetViews>
  <sheetFormatPr baseColWidth="10" defaultColWidth="14.33203125" defaultRowHeight="15.75" customHeight="1"/>
  <cols>
    <col min="1" max="1" width="63.33203125" customWidth="1"/>
    <col min="2" max="7" width="22.83203125" customWidth="1"/>
    <col min="8" max="8" width="35.1640625" customWidth="1"/>
  </cols>
  <sheetData>
    <row r="1" spans="1:8" ht="25">
      <c r="A1" s="438" t="s">
        <v>0</v>
      </c>
    </row>
    <row r="3" spans="1:8" ht="15.75" customHeight="1" thickBot="1">
      <c r="A3" s="14"/>
      <c r="B3" s="3"/>
      <c r="C3" s="3"/>
      <c r="D3" s="3"/>
      <c r="E3" s="3"/>
      <c r="F3" s="3"/>
      <c r="G3" s="3"/>
      <c r="H3" s="3"/>
    </row>
    <row r="4" spans="1:8" ht="18" customHeight="1" thickBot="1">
      <c r="A4" s="1057" t="s">
        <v>964</v>
      </c>
      <c r="B4" s="1566">
        <v>4</v>
      </c>
      <c r="C4" s="1056" t="s">
        <v>566</v>
      </c>
      <c r="D4" s="3"/>
      <c r="E4" s="3"/>
      <c r="F4" s="3"/>
      <c r="G4" s="3"/>
      <c r="H4" s="3"/>
    </row>
    <row r="5" spans="1:8" ht="18" customHeight="1" thickBot="1">
      <c r="D5" s="3"/>
      <c r="E5" s="3"/>
      <c r="F5" s="3"/>
      <c r="G5" s="3"/>
      <c r="H5" s="3"/>
    </row>
    <row r="6" spans="1:8" ht="18" customHeight="1" thickTop="1">
      <c r="A6" s="827"/>
      <c r="B6" s="1397" t="s">
        <v>22</v>
      </c>
      <c r="C6" s="1397" t="s">
        <v>23</v>
      </c>
      <c r="D6" s="1397" t="s">
        <v>24</v>
      </c>
      <c r="E6" s="1397" t="s">
        <v>25</v>
      </c>
      <c r="F6" s="1397" t="s">
        <v>26</v>
      </c>
      <c r="G6" s="1398" t="s">
        <v>27</v>
      </c>
      <c r="H6" s="238" t="s">
        <v>567</v>
      </c>
    </row>
    <row r="7" spans="1:8" ht="18" customHeight="1">
      <c r="A7" s="1054" t="s">
        <v>568</v>
      </c>
      <c r="B7" s="334">
        <f>'OM Aggregate Hybrid Plan Y0-5'!R13</f>
        <v>1</v>
      </c>
      <c r="C7" s="334">
        <f>'OM Aggregate Hybrid Plan Y0-5'!R37</f>
        <v>1</v>
      </c>
      <c r="D7" s="334">
        <f>'OM Aggregate Hybrid Plan Y0-5'!R58</f>
        <v>2</v>
      </c>
      <c r="E7" s="334">
        <f>'OM Aggregate Hybrid Plan Y0-5'!R86</f>
        <v>5</v>
      </c>
      <c r="F7" s="334">
        <f>'OM Aggregate Hybrid Plan Y0-5'!R112</f>
        <v>6</v>
      </c>
      <c r="G7" s="577">
        <f>'OM Aggregate Hybrid Plan Y0-5'!R137</f>
        <v>7</v>
      </c>
      <c r="H7" s="3"/>
    </row>
    <row r="8" spans="1:8" ht="18" customHeight="1">
      <c r="A8" s="1054" t="s">
        <v>569</v>
      </c>
      <c r="B8" s="334">
        <f>'OM Aggregate Hybrid Plan Y0-5'!R18</f>
        <v>1</v>
      </c>
      <c r="C8" s="334">
        <f>'OM Aggregate Hybrid Plan Y0-5'!R42</f>
        <v>1</v>
      </c>
      <c r="D8" s="334">
        <f>'OM Aggregate Hybrid Plan Y0-5'!R63</f>
        <v>1</v>
      </c>
      <c r="E8" s="334">
        <f>'OM Aggregate Hybrid Plan Y0-5'!R91</f>
        <v>1</v>
      </c>
      <c r="F8" s="334">
        <f>'OM Aggregate Hybrid Plan Y0-5'!R117</f>
        <v>2</v>
      </c>
      <c r="G8" s="577">
        <f>'OM Aggregate Hybrid Plan Y0-5'!R142</f>
        <v>3</v>
      </c>
      <c r="H8" s="3"/>
    </row>
    <row r="9" spans="1:8" ht="18" customHeight="1">
      <c r="A9" s="1054" t="s">
        <v>570</v>
      </c>
      <c r="B9" s="334">
        <v>8</v>
      </c>
      <c r="C9" s="334">
        <v>8</v>
      </c>
      <c r="D9" s="334">
        <v>8</v>
      </c>
      <c r="E9" s="334">
        <v>8</v>
      </c>
      <c r="F9" s="334">
        <v>8</v>
      </c>
      <c r="G9" s="577">
        <v>8</v>
      </c>
      <c r="H9" s="3"/>
    </row>
    <row r="10" spans="1:8" ht="18" customHeight="1">
      <c r="A10" s="1054" t="s">
        <v>571</v>
      </c>
      <c r="B10" s="167">
        <f>4*8*20*B7</f>
        <v>640</v>
      </c>
      <c r="C10" s="167">
        <f>'OM Aggregate Hybrid Plan Y0-5'!R41*12</f>
        <v>7680</v>
      </c>
      <c r="D10" s="167">
        <f>'OM Aggregate Hybrid Plan Y0-5'!R62*12</f>
        <v>15360</v>
      </c>
      <c r="E10" s="167">
        <f>'OM Aggregate Hybrid Plan Y0-5'!R90*12</f>
        <v>38400</v>
      </c>
      <c r="F10" s="167">
        <f>'OM Aggregate Hybrid Plan Y0-5'!R116*12</f>
        <v>46080</v>
      </c>
      <c r="G10" s="168">
        <f>'OM Aggregate Hybrid Plan Y0-5'!R141*12</f>
        <v>53760</v>
      </c>
      <c r="H10" s="3"/>
    </row>
    <row r="11" spans="1:8" ht="18" customHeight="1">
      <c r="A11" s="1054" t="s">
        <v>572</v>
      </c>
      <c r="B11" s="167">
        <f>4*6*20*B8</f>
        <v>480</v>
      </c>
      <c r="C11" s="167">
        <f>'OM Aggregate Hybrid Plan Y0-5'!R46*12</f>
        <v>5760</v>
      </c>
      <c r="D11" s="167">
        <f>'OM Aggregate Hybrid Plan Y0-5'!R67*12</f>
        <v>5760</v>
      </c>
      <c r="E11" s="167">
        <f>'OM Aggregate Hybrid Plan Y0-5'!R95*12</f>
        <v>5760</v>
      </c>
      <c r="F11" s="167">
        <f>'OM Aggregate Hybrid Plan Y0-5'!R121*12</f>
        <v>11520</v>
      </c>
      <c r="G11" s="168">
        <f>'OM Aggregate Hybrid Plan Y0-5'!R146*12</f>
        <v>17280</v>
      </c>
      <c r="H11" s="3"/>
    </row>
    <row r="12" spans="1:8" ht="18" customHeight="1">
      <c r="A12" s="1054" t="s">
        <v>573</v>
      </c>
      <c r="B12" s="167">
        <f t="shared" ref="B12:G12" si="0">SUM(B10:B11)</f>
        <v>1120</v>
      </c>
      <c r="C12" s="167">
        <f t="shared" si="0"/>
        <v>13440</v>
      </c>
      <c r="D12" s="167">
        <f t="shared" si="0"/>
        <v>21120</v>
      </c>
      <c r="E12" s="167">
        <f t="shared" si="0"/>
        <v>44160</v>
      </c>
      <c r="F12" s="167">
        <f t="shared" si="0"/>
        <v>57600</v>
      </c>
      <c r="G12" s="168">
        <f t="shared" si="0"/>
        <v>71040</v>
      </c>
      <c r="H12" s="3"/>
    </row>
    <row r="13" spans="1:8" ht="18" customHeight="1" thickBot="1">
      <c r="A13" s="1055" t="s">
        <v>574</v>
      </c>
      <c r="B13" s="1395">
        <v>0.59789999999999999</v>
      </c>
      <c r="C13" s="1395">
        <v>0.6381</v>
      </c>
      <c r="D13" s="1395">
        <v>0.6381</v>
      </c>
      <c r="E13" s="1395">
        <v>0.74150000000000005</v>
      </c>
      <c r="F13" s="1395">
        <v>0.77380000000000004</v>
      </c>
      <c r="G13" s="1396">
        <v>0.79890000000000005</v>
      </c>
      <c r="H13" s="3"/>
    </row>
    <row r="14" spans="1:8" ht="18" customHeight="1" thickTop="1"/>
    <row r="15" spans="1:8" ht="18" customHeight="1"/>
    <row r="16" spans="1:8" ht="18" customHeight="1" thickTop="1" thickBot="1">
      <c r="A16" s="2013" t="s">
        <v>575</v>
      </c>
      <c r="B16" s="2014"/>
      <c r="C16" s="2014"/>
      <c r="D16" s="2014"/>
      <c r="E16" s="2015"/>
    </row>
    <row r="17" spans="1:5" ht="40" customHeight="1" thickTop="1" thickBot="1">
      <c r="A17" s="1058" t="s">
        <v>576</v>
      </c>
      <c r="B17" s="1059" t="s">
        <v>577</v>
      </c>
      <c r="C17" s="1059" t="s">
        <v>578</v>
      </c>
      <c r="D17" s="1059" t="s">
        <v>579</v>
      </c>
      <c r="E17" s="1059" t="s">
        <v>580</v>
      </c>
    </row>
    <row r="18" spans="1:5" ht="18" customHeight="1" thickTop="1">
      <c r="A18" s="1051" t="s">
        <v>517</v>
      </c>
      <c r="B18" s="1392">
        <v>1</v>
      </c>
      <c r="C18" s="1399">
        <f t="shared" ref="C18:C21" si="1">B18/SUM($B$18:$B$21)</f>
        <v>5.5555555555555552E-2</v>
      </c>
      <c r="D18" s="1400">
        <v>32.24</v>
      </c>
      <c r="E18" s="262">
        <f t="shared" ref="E18:E21" si="2">D18/$D$21</f>
        <v>0.80600000000000005</v>
      </c>
    </row>
    <row r="19" spans="1:5" ht="18" customHeight="1">
      <c r="A19" s="1052" t="s">
        <v>581</v>
      </c>
      <c r="B19" s="1393">
        <v>4</v>
      </c>
      <c r="C19" s="1401">
        <f t="shared" si="1"/>
        <v>0.22222222222222221</v>
      </c>
      <c r="D19" s="1402">
        <v>14</v>
      </c>
      <c r="E19" s="1403">
        <f t="shared" si="2"/>
        <v>0.35</v>
      </c>
    </row>
    <row r="20" spans="1:5" ht="18" customHeight="1">
      <c r="A20" s="1052" t="s">
        <v>582</v>
      </c>
      <c r="B20" s="1393">
        <v>3</v>
      </c>
      <c r="C20" s="1401">
        <f t="shared" si="1"/>
        <v>0.16666666666666666</v>
      </c>
      <c r="D20" s="1404">
        <v>29</v>
      </c>
      <c r="E20" s="1403">
        <f t="shared" si="2"/>
        <v>0.72499999999999998</v>
      </c>
    </row>
    <row r="21" spans="1:5" ht="18" customHeight="1" thickBot="1">
      <c r="A21" s="1053" t="s">
        <v>532</v>
      </c>
      <c r="B21" s="1394">
        <v>10</v>
      </c>
      <c r="C21" s="1405">
        <f t="shared" si="1"/>
        <v>0.55555555555555558</v>
      </c>
      <c r="D21" s="1406">
        <v>40</v>
      </c>
      <c r="E21" s="1407">
        <f t="shared" si="2"/>
        <v>1</v>
      </c>
    </row>
    <row r="22" spans="1:5" ht="18" customHeight="1" thickTop="1">
      <c r="C22" s="601" t="s">
        <v>583</v>
      </c>
      <c r="D22" s="1408">
        <f>SUM(D18:D21)</f>
        <v>115.24000000000001</v>
      </c>
      <c r="E22" s="1409"/>
    </row>
    <row r="23" spans="1:5" ht="18" customHeight="1" thickBot="1">
      <c r="C23" s="602" t="s">
        <v>584</v>
      </c>
      <c r="D23" s="1410"/>
      <c r="E23" s="1411">
        <f>SUMPRODUCT(C18:C21,E18:E21)</f>
        <v>0.79894444444444446</v>
      </c>
    </row>
    <row r="24" spans="1:5" ht="15.75" customHeight="1" thickTop="1"/>
    <row r="33" spans="2:8" ht="16">
      <c r="G33" s="603"/>
      <c r="H33" s="603"/>
    </row>
    <row r="34" spans="2:8" ht="16">
      <c r="G34" s="603"/>
      <c r="H34" s="603"/>
    </row>
    <row r="35" spans="2:8" ht="16">
      <c r="G35" s="603"/>
      <c r="H35" s="603"/>
    </row>
    <row r="36" spans="2:8" ht="16">
      <c r="G36" s="603"/>
      <c r="H36" s="603"/>
    </row>
    <row r="37" spans="2:8" ht="16">
      <c r="G37" s="603"/>
      <c r="H37" s="603"/>
    </row>
    <row r="38" spans="2:8" ht="16">
      <c r="G38" s="2016"/>
      <c r="H38" s="2010"/>
    </row>
    <row r="39" spans="2:8" ht="16">
      <c r="G39" s="2016"/>
      <c r="H39" s="2010"/>
    </row>
    <row r="40" spans="2:8" ht="16">
      <c r="G40" s="603"/>
      <c r="H40" s="603"/>
    </row>
    <row r="41" spans="2:8" ht="16">
      <c r="G41" s="603"/>
      <c r="H41" s="603"/>
    </row>
    <row r="42" spans="2:8" ht="16">
      <c r="G42" s="603"/>
      <c r="H42" s="603"/>
    </row>
    <row r="43" spans="2:8" ht="16">
      <c r="B43" s="604"/>
      <c r="C43" s="603"/>
      <c r="D43" s="603"/>
      <c r="E43" s="603"/>
      <c r="F43" s="603"/>
      <c r="G43" s="603"/>
      <c r="H43" s="603"/>
    </row>
  </sheetData>
  <mergeCells count="3">
    <mergeCell ref="A16:E16"/>
    <mergeCell ref="G38:H38"/>
    <mergeCell ref="G39:H39"/>
  </mergeCells>
  <hyperlinks>
    <hyperlink ref="A1" location="Index!A1" display="Index" xr:uid="{AA929DF8-75ED-9740-A648-B64648BB993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outlinePr summaryBelow="0" summaryRight="0"/>
  </sheetPr>
  <dimension ref="A1:I63"/>
  <sheetViews>
    <sheetView topLeftCell="A49" zoomScale="125" zoomScaleNormal="60" workbookViewId="0"/>
  </sheetViews>
  <sheetFormatPr baseColWidth="10" defaultColWidth="14.33203125" defaultRowHeight="15.75" customHeight="1"/>
  <cols>
    <col min="1" max="1" width="30.6640625" customWidth="1"/>
    <col min="2" max="7" width="15.33203125" customWidth="1"/>
    <col min="8" max="8" width="13" customWidth="1"/>
    <col min="9" max="9" width="28" customWidth="1"/>
  </cols>
  <sheetData>
    <row r="1" spans="1:9" ht="25">
      <c r="A1" s="438" t="s">
        <v>0</v>
      </c>
    </row>
    <row r="2" spans="1:9" ht="15.75" customHeight="1">
      <c r="A2" s="3"/>
      <c r="B2" s="3"/>
      <c r="C2" s="3"/>
      <c r="D2" s="3"/>
      <c r="E2" s="3"/>
      <c r="F2" s="3"/>
      <c r="G2" s="3"/>
      <c r="H2" s="3"/>
      <c r="I2" s="3"/>
    </row>
    <row r="3" spans="1:9" ht="18" customHeight="1">
      <c r="A3" s="1166" t="s">
        <v>812</v>
      </c>
      <c r="B3" s="1167" t="s">
        <v>22</v>
      </c>
      <c r="C3" s="1168" t="s">
        <v>23</v>
      </c>
      <c r="D3" s="1168" t="s">
        <v>24</v>
      </c>
      <c r="E3" s="1168" t="s">
        <v>25</v>
      </c>
      <c r="F3" s="1168" t="s">
        <v>26</v>
      </c>
      <c r="G3" s="1169" t="s">
        <v>27</v>
      </c>
      <c r="H3" s="3"/>
      <c r="I3" s="3"/>
    </row>
    <row r="4" spans="1:9" ht="18" customHeight="1">
      <c r="A4" s="202" t="s">
        <v>813</v>
      </c>
      <c r="B4" s="1795">
        <f>'OM Manufacturing Assumptions'!B31*3</f>
        <v>4500</v>
      </c>
      <c r="C4" s="1794">
        <v>0</v>
      </c>
      <c r="D4" s="1794">
        <v>0</v>
      </c>
      <c r="E4" s="1795">
        <f>'OM Manufacturing Assumptions'!B31*7</f>
        <v>10500</v>
      </c>
      <c r="F4" s="423">
        <v>0</v>
      </c>
      <c r="G4" s="429">
        <v>0</v>
      </c>
      <c r="H4" s="3"/>
      <c r="I4" s="3"/>
    </row>
    <row r="5" spans="1:9" ht="18" customHeight="1">
      <c r="A5" s="202" t="s">
        <v>814</v>
      </c>
      <c r="B5" s="1795">
        <f>'OM Manufacturing Assumptions'!B32*4</f>
        <v>4000</v>
      </c>
      <c r="C5" s="1794">
        <v>0</v>
      </c>
      <c r="D5" s="1794">
        <v>0</v>
      </c>
      <c r="E5" s="1795">
        <f>'OM Manufacturing Assumptions'!B32*6</f>
        <v>6000</v>
      </c>
      <c r="F5" s="423">
        <v>0</v>
      </c>
      <c r="G5" s="429">
        <v>0</v>
      </c>
      <c r="H5" s="3"/>
      <c r="I5" s="3"/>
    </row>
    <row r="6" spans="1:9" ht="18" customHeight="1">
      <c r="A6" s="202" t="s">
        <v>815</v>
      </c>
      <c r="B6" s="1795">
        <f>'OM Manufacturing Assumptions'!B33</f>
        <v>750</v>
      </c>
      <c r="C6" s="1794">
        <v>0</v>
      </c>
      <c r="D6" s="1794">
        <v>0</v>
      </c>
      <c r="E6" s="1795">
        <f>'OM Manufacturing Assumptions'!B33</f>
        <v>750</v>
      </c>
      <c r="F6" s="423">
        <v>0</v>
      </c>
      <c r="G6" s="429">
        <v>0</v>
      </c>
      <c r="H6" s="3"/>
      <c r="I6" s="3"/>
    </row>
    <row r="7" spans="1:9" ht="18" customHeight="1">
      <c r="A7" s="202" t="s">
        <v>478</v>
      </c>
      <c r="B7" s="1795">
        <f>'OM Manufacturing Assumptions'!B34</f>
        <v>1500</v>
      </c>
      <c r="C7" s="1794">
        <v>0</v>
      </c>
      <c r="D7" s="1794">
        <v>0</v>
      </c>
      <c r="E7" s="1795">
        <f>'OM Manufacturing Assumptions'!B34</f>
        <v>1500</v>
      </c>
      <c r="F7" s="423">
        <v>0</v>
      </c>
      <c r="G7" s="429">
        <v>0</v>
      </c>
      <c r="H7" s="3"/>
      <c r="I7" s="3"/>
    </row>
    <row r="8" spans="1:9" ht="18" customHeight="1">
      <c r="A8" s="199" t="s">
        <v>816</v>
      </c>
      <c r="B8" s="1850">
        <f>'OM Manufacturing Assumptions'!B35</f>
        <v>350</v>
      </c>
      <c r="C8" s="1851">
        <v>0</v>
      </c>
      <c r="D8" s="1851">
        <v>0</v>
      </c>
      <c r="E8" s="1851">
        <v>0</v>
      </c>
      <c r="F8" s="805">
        <v>0</v>
      </c>
      <c r="G8" s="806">
        <v>0</v>
      </c>
      <c r="H8" s="3"/>
      <c r="I8" s="3"/>
    </row>
    <row r="9" spans="1:9" ht="18" customHeight="1">
      <c r="A9" s="3"/>
      <c r="B9" s="3"/>
      <c r="C9" s="3"/>
      <c r="D9" s="3"/>
      <c r="E9" s="3"/>
      <c r="F9" s="3"/>
      <c r="G9" s="3"/>
      <c r="H9" s="3"/>
      <c r="I9" s="3"/>
    </row>
    <row r="10" spans="1:9" ht="18" customHeight="1">
      <c r="A10" s="1166" t="s">
        <v>510</v>
      </c>
      <c r="B10" s="1167" t="s">
        <v>22</v>
      </c>
      <c r="C10" s="1168" t="s">
        <v>23</v>
      </c>
      <c r="D10" s="1168" t="s">
        <v>24</v>
      </c>
      <c r="E10" s="1168" t="s">
        <v>25</v>
      </c>
      <c r="F10" s="1168" t="s">
        <v>26</v>
      </c>
      <c r="G10" s="1169" t="s">
        <v>27</v>
      </c>
      <c r="H10" s="3"/>
      <c r="I10" s="3"/>
    </row>
    <row r="11" spans="1:9" ht="18" customHeight="1">
      <c r="A11" s="202" t="s">
        <v>817</v>
      </c>
      <c r="B11" s="1795">
        <f>'OM Manufacturing Assumptions'!F78</f>
        <v>75283.259999999995</v>
      </c>
      <c r="C11" s="423">
        <v>0</v>
      </c>
      <c r="D11" s="423">
        <v>0</v>
      </c>
      <c r="E11" s="423">
        <v>0</v>
      </c>
      <c r="F11" s="423">
        <v>0</v>
      </c>
      <c r="G11" s="429">
        <v>0</v>
      </c>
      <c r="H11" s="3"/>
      <c r="I11" s="3"/>
    </row>
    <row r="12" spans="1:9" ht="18" customHeight="1">
      <c r="A12" s="202" t="s">
        <v>818</v>
      </c>
      <c r="B12" s="1849">
        <v>70000</v>
      </c>
      <c r="C12" s="423">
        <v>0</v>
      </c>
      <c r="D12" s="423">
        <v>0</v>
      </c>
      <c r="E12" s="423">
        <v>0</v>
      </c>
      <c r="F12" s="423">
        <v>0</v>
      </c>
      <c r="G12" s="429">
        <v>0</v>
      </c>
      <c r="H12" s="3"/>
      <c r="I12" s="3"/>
    </row>
    <row r="13" spans="1:9" ht="18" customHeight="1">
      <c r="A13" s="202" t="s">
        <v>819</v>
      </c>
      <c r="B13" s="1849">
        <v>210000</v>
      </c>
      <c r="C13" s="423">
        <v>0</v>
      </c>
      <c r="D13" s="423">
        <v>0</v>
      </c>
      <c r="E13" s="423">
        <v>0</v>
      </c>
      <c r="F13" s="423">
        <v>0</v>
      </c>
      <c r="G13" s="429">
        <v>0</v>
      </c>
      <c r="H13" s="3"/>
      <c r="I13" s="3"/>
    </row>
    <row r="14" spans="1:9" ht="18" customHeight="1">
      <c r="A14" s="202" t="s">
        <v>820</v>
      </c>
      <c r="B14" s="1794">
        <v>0</v>
      </c>
      <c r="C14" s="1794">
        <v>0</v>
      </c>
      <c r="D14" s="1794">
        <v>0</v>
      </c>
      <c r="E14" s="1795">
        <f>'OM Manufacturing Assumptions'!E77</f>
        <v>518</v>
      </c>
      <c r="F14" s="1794">
        <v>0</v>
      </c>
      <c r="G14" s="1852">
        <v>0</v>
      </c>
      <c r="H14" s="3"/>
      <c r="I14" s="3"/>
    </row>
    <row r="15" spans="1:9" ht="18" customHeight="1">
      <c r="A15" s="807" t="s">
        <v>821</v>
      </c>
      <c r="B15" s="1853">
        <f t="shared" ref="B15:G15" si="0">SUM(B4:B14)</f>
        <v>366383.26</v>
      </c>
      <c r="C15" s="1853">
        <f t="shared" si="0"/>
        <v>0</v>
      </c>
      <c r="D15" s="1853">
        <f t="shared" si="0"/>
        <v>0</v>
      </c>
      <c r="E15" s="1853">
        <f t="shared" si="0"/>
        <v>19268</v>
      </c>
      <c r="F15" s="1853">
        <f t="shared" si="0"/>
        <v>0</v>
      </c>
      <c r="G15" s="1854">
        <f t="shared" si="0"/>
        <v>0</v>
      </c>
      <c r="H15" s="3"/>
      <c r="I15" s="3"/>
    </row>
    <row r="16" spans="1:9" ht="18" customHeight="1">
      <c r="A16" s="199" t="s">
        <v>822</v>
      </c>
      <c r="B16" s="1850">
        <f>SUM(B4:B13)</f>
        <v>366383.26</v>
      </c>
      <c r="C16" s="1850">
        <f t="shared" ref="C16:D16" si="1">B16</f>
        <v>366383.26</v>
      </c>
      <c r="D16" s="1850">
        <f t="shared" si="1"/>
        <v>366383.26</v>
      </c>
      <c r="E16" s="1850">
        <f>SUM(E3:E14)+D16</f>
        <v>385651.26</v>
      </c>
      <c r="F16" s="1851">
        <f t="shared" ref="F16:G16" si="2">E16</f>
        <v>385651.26</v>
      </c>
      <c r="G16" s="1855">
        <f t="shared" si="2"/>
        <v>385651.26</v>
      </c>
      <c r="H16" s="3"/>
      <c r="I16" s="3"/>
    </row>
    <row r="17" spans="1:9" ht="18" customHeight="1" thickTop="1" thickBot="1">
      <c r="A17" s="3"/>
      <c r="B17" s="130"/>
      <c r="C17" s="3"/>
      <c r="D17" s="3"/>
      <c r="E17" s="3"/>
      <c r="F17" s="3"/>
      <c r="G17" s="3"/>
      <c r="H17" s="3"/>
      <c r="I17" s="3"/>
    </row>
    <row r="18" spans="1:9" ht="18" customHeight="1" thickBot="1">
      <c r="A18" s="2017" t="s">
        <v>823</v>
      </c>
      <c r="B18" s="2018"/>
      <c r="C18" s="2018"/>
      <c r="D18" s="2018"/>
      <c r="E18" s="2018"/>
      <c r="F18" s="2018"/>
      <c r="G18" s="2018"/>
      <c r="H18" s="2019"/>
      <c r="I18" s="3"/>
    </row>
    <row r="19" spans="1:9" ht="18" customHeight="1" thickBot="1">
      <c r="A19" s="3"/>
      <c r="B19" s="3"/>
      <c r="C19" s="3"/>
      <c r="D19" s="3"/>
      <c r="E19" s="3"/>
      <c r="F19" s="3"/>
      <c r="G19" s="3"/>
      <c r="H19" s="3"/>
      <c r="I19" s="3"/>
    </row>
    <row r="20" spans="1:9" ht="18" customHeight="1">
      <c r="A20" s="1166" t="s">
        <v>824</v>
      </c>
      <c r="B20" s="1168" t="s">
        <v>22</v>
      </c>
      <c r="C20" s="1168" t="s">
        <v>23</v>
      </c>
      <c r="D20" s="1168" t="s">
        <v>24</v>
      </c>
      <c r="E20" s="1168" t="s">
        <v>25</v>
      </c>
      <c r="F20" s="1168" t="s">
        <v>26</v>
      </c>
      <c r="G20" s="1169" t="s">
        <v>27</v>
      </c>
      <c r="H20" s="3"/>
      <c r="I20" s="3"/>
    </row>
    <row r="21" spans="1:9" ht="18" customHeight="1">
      <c r="A21" s="202" t="s">
        <v>813</v>
      </c>
      <c r="B21" s="1856">
        <v>4500</v>
      </c>
      <c r="C21" s="1795">
        <f t="shared" ref="C21:E21" si="3">B21-($B$21/3)</f>
        <v>3000</v>
      </c>
      <c r="D21" s="1795">
        <f t="shared" si="3"/>
        <v>1500</v>
      </c>
      <c r="E21" s="1795">
        <f t="shared" si="3"/>
        <v>0</v>
      </c>
      <c r="F21" s="1794">
        <v>0</v>
      </c>
      <c r="G21" s="1852">
        <v>0</v>
      </c>
      <c r="H21" s="3"/>
      <c r="I21" s="3"/>
    </row>
    <row r="22" spans="1:9" ht="18" customHeight="1">
      <c r="A22" s="202" t="s">
        <v>814</v>
      </c>
      <c r="B22" s="1856">
        <v>4000</v>
      </c>
      <c r="C22" s="1795">
        <f t="shared" ref="C22:D22" si="4">B22-($B$22/3)</f>
        <v>2666.666666666667</v>
      </c>
      <c r="D22" s="1795">
        <f t="shared" si="4"/>
        <v>1333.3333333333337</v>
      </c>
      <c r="E22" s="1794">
        <v>0</v>
      </c>
      <c r="F22" s="1794">
        <v>0</v>
      </c>
      <c r="G22" s="1852">
        <v>0</v>
      </c>
      <c r="H22" s="3"/>
      <c r="I22" s="3"/>
    </row>
    <row r="23" spans="1:9" ht="18" customHeight="1">
      <c r="A23" s="202" t="s">
        <v>815</v>
      </c>
      <c r="B23" s="1856">
        <v>750</v>
      </c>
      <c r="C23" s="1795">
        <f t="shared" ref="C23:G23" si="5">B23-($B$23/5)</f>
        <v>600</v>
      </c>
      <c r="D23" s="1795">
        <f t="shared" si="5"/>
        <v>450</v>
      </c>
      <c r="E23" s="1795">
        <f t="shared" si="5"/>
        <v>300</v>
      </c>
      <c r="F23" s="1795">
        <f t="shared" si="5"/>
        <v>150</v>
      </c>
      <c r="G23" s="1857">
        <f t="shared" si="5"/>
        <v>0</v>
      </c>
      <c r="H23" s="3"/>
      <c r="I23" s="3"/>
    </row>
    <row r="24" spans="1:9" ht="18" customHeight="1">
      <c r="A24" s="202" t="s">
        <v>478</v>
      </c>
      <c r="B24" s="1856">
        <v>1500</v>
      </c>
      <c r="C24" s="1795">
        <f t="shared" ref="C24:G24" si="6">B24-($B$24/5)</f>
        <v>1200</v>
      </c>
      <c r="D24" s="1795">
        <f t="shared" si="6"/>
        <v>900</v>
      </c>
      <c r="E24" s="1795">
        <f t="shared" si="6"/>
        <v>600</v>
      </c>
      <c r="F24" s="1795">
        <f t="shared" si="6"/>
        <v>300</v>
      </c>
      <c r="G24" s="1857">
        <f t="shared" si="6"/>
        <v>0</v>
      </c>
      <c r="H24" s="3"/>
      <c r="I24" s="3"/>
    </row>
    <row r="25" spans="1:9" ht="18" customHeight="1">
      <c r="A25" s="202" t="s">
        <v>816</v>
      </c>
      <c r="B25" s="1856">
        <v>350</v>
      </c>
      <c r="C25" s="1795">
        <f t="shared" ref="C25:G25" si="7">B25-($B$25/5)</f>
        <v>280</v>
      </c>
      <c r="D25" s="1795">
        <f t="shared" si="7"/>
        <v>210</v>
      </c>
      <c r="E25" s="1795">
        <f t="shared" si="7"/>
        <v>140</v>
      </c>
      <c r="F25" s="1795">
        <f t="shared" si="7"/>
        <v>70</v>
      </c>
      <c r="G25" s="1857">
        <f t="shared" si="7"/>
        <v>0</v>
      </c>
      <c r="H25" s="3"/>
      <c r="I25" s="3"/>
    </row>
    <row r="26" spans="1:9" ht="18" customHeight="1">
      <c r="A26" s="202" t="s">
        <v>817</v>
      </c>
      <c r="B26" s="1795">
        <f t="shared" ref="B26:B28" si="8">B11</f>
        <v>75283.259999999995</v>
      </c>
      <c r="C26" s="1795">
        <f t="shared" ref="C26:F26" si="9">B26-($B$26/5)</f>
        <v>60226.607999999993</v>
      </c>
      <c r="D26" s="1795">
        <f t="shared" si="9"/>
        <v>45169.955999999991</v>
      </c>
      <c r="E26" s="1795">
        <f t="shared" si="9"/>
        <v>30113.303999999993</v>
      </c>
      <c r="F26" s="1795">
        <f t="shared" si="9"/>
        <v>15056.651999999995</v>
      </c>
      <c r="G26" s="1852">
        <v>0</v>
      </c>
      <c r="H26" s="3"/>
      <c r="I26" s="3"/>
    </row>
    <row r="27" spans="1:9" ht="18" customHeight="1">
      <c r="A27" s="202" t="s">
        <v>818</v>
      </c>
      <c r="B27" s="1795">
        <f t="shared" si="8"/>
        <v>70000</v>
      </c>
      <c r="C27" s="1795">
        <f t="shared" ref="C27:G27" si="10">B27-($B$27/5)</f>
        <v>56000</v>
      </c>
      <c r="D27" s="1795">
        <f t="shared" si="10"/>
        <v>42000</v>
      </c>
      <c r="E27" s="1795">
        <f t="shared" si="10"/>
        <v>28000</v>
      </c>
      <c r="F27" s="1795">
        <f t="shared" si="10"/>
        <v>14000</v>
      </c>
      <c r="G27" s="1857">
        <f t="shared" si="10"/>
        <v>0</v>
      </c>
      <c r="H27" s="3"/>
      <c r="I27" s="3"/>
    </row>
    <row r="28" spans="1:9" ht="18" customHeight="1">
      <c r="A28" s="202" t="s">
        <v>819</v>
      </c>
      <c r="B28" s="1795">
        <f t="shared" si="8"/>
        <v>210000</v>
      </c>
      <c r="C28" s="1795">
        <f t="shared" ref="C28:G28" si="11">B28-($B$28/5)</f>
        <v>168000</v>
      </c>
      <c r="D28" s="1795">
        <f t="shared" si="11"/>
        <v>126000</v>
      </c>
      <c r="E28" s="1795">
        <f t="shared" si="11"/>
        <v>84000</v>
      </c>
      <c r="F28" s="1795">
        <f t="shared" si="11"/>
        <v>42000</v>
      </c>
      <c r="G28" s="1857">
        <f t="shared" si="11"/>
        <v>0</v>
      </c>
      <c r="H28" s="3"/>
      <c r="I28" s="3"/>
    </row>
    <row r="29" spans="1:9" ht="18" customHeight="1">
      <c r="A29" s="202" t="s">
        <v>820</v>
      </c>
      <c r="B29" s="1794">
        <v>0</v>
      </c>
      <c r="C29" s="1795">
        <f>B29-(B29/5)</f>
        <v>0</v>
      </c>
      <c r="D29" s="1794">
        <v>0</v>
      </c>
      <c r="E29" s="1794">
        <v>0</v>
      </c>
      <c r="F29" s="1794">
        <v>0</v>
      </c>
      <c r="G29" s="1852">
        <v>0</v>
      </c>
      <c r="H29" s="3"/>
      <c r="I29" s="3"/>
    </row>
    <row r="30" spans="1:9" ht="18" customHeight="1">
      <c r="A30" s="808" t="s">
        <v>825</v>
      </c>
      <c r="B30" s="1858">
        <f>SUM(B21:B29)</f>
        <v>366383.26</v>
      </c>
      <c r="C30" s="1858">
        <f>SUM(C21:C28)</f>
        <v>291973.27466666664</v>
      </c>
      <c r="D30" s="1858">
        <f t="shared" ref="D30:G30" si="12">SUM(D21:D29)</f>
        <v>217563.28933333332</v>
      </c>
      <c r="E30" s="1858">
        <f t="shared" si="12"/>
        <v>143153.304</v>
      </c>
      <c r="F30" s="1858">
        <f t="shared" si="12"/>
        <v>71576.652000000002</v>
      </c>
      <c r="G30" s="1859">
        <f t="shared" si="12"/>
        <v>0</v>
      </c>
      <c r="H30" s="3"/>
      <c r="I30" s="3"/>
    </row>
    <row r="31" spans="1:9" ht="18" customHeight="1">
      <c r="A31" s="199" t="s">
        <v>826</v>
      </c>
      <c r="B31" s="1851">
        <v>0</v>
      </c>
      <c r="C31" s="1850">
        <f t="shared" ref="C31:E31" si="13">($B$21/3)+($B$22/3)+($B$23/5)+($B$24/5)+($B$25/5)+($B$26/5)+($B$27/5)+($B$28/5)</f>
        <v>74409.98533333333</v>
      </c>
      <c r="D31" s="1850">
        <f t="shared" si="13"/>
        <v>74409.98533333333</v>
      </c>
      <c r="E31" s="1850">
        <f t="shared" si="13"/>
        <v>74409.98533333333</v>
      </c>
      <c r="F31" s="1850">
        <f t="shared" ref="F31:G31" si="14">($B$23/5)+($B$24/5)+($B$25/5)+($B$26/5)+($B$27/5)+($B$28/5)</f>
        <v>71576.652000000002</v>
      </c>
      <c r="G31" s="1860">
        <f t="shared" si="14"/>
        <v>71576.652000000002</v>
      </c>
      <c r="H31" s="3"/>
      <c r="I31" s="3"/>
    </row>
    <row r="32" spans="1:9" ht="18" customHeight="1">
      <c r="A32" s="3"/>
      <c r="B32" s="3"/>
      <c r="C32" s="3"/>
      <c r="D32" s="3"/>
      <c r="E32" s="3"/>
      <c r="F32" s="3"/>
      <c r="G32" s="3"/>
      <c r="H32" s="3"/>
      <c r="I32" s="3"/>
    </row>
    <row r="33" spans="1:9" ht="18" customHeight="1">
      <c r="A33" s="3"/>
      <c r="B33" s="3"/>
      <c r="C33" s="3"/>
      <c r="D33" s="3"/>
      <c r="E33" s="3"/>
      <c r="F33" s="3"/>
      <c r="G33" s="3"/>
      <c r="H33" s="3"/>
      <c r="I33" s="3"/>
    </row>
    <row r="34" spans="1:9" ht="18" customHeight="1">
      <c r="A34" s="1166" t="s">
        <v>827</v>
      </c>
      <c r="B34" s="1168" t="s">
        <v>22</v>
      </c>
      <c r="C34" s="1168" t="s">
        <v>23</v>
      </c>
      <c r="D34" s="1168" t="s">
        <v>24</v>
      </c>
      <c r="E34" s="1168" t="s">
        <v>25</v>
      </c>
      <c r="F34" s="1168" t="s">
        <v>26</v>
      </c>
      <c r="G34" s="1168" t="s">
        <v>27</v>
      </c>
      <c r="H34" s="1169" t="s">
        <v>167</v>
      </c>
      <c r="I34" s="3"/>
    </row>
    <row r="35" spans="1:9" ht="18" customHeight="1">
      <c r="A35" s="463" t="s">
        <v>813</v>
      </c>
      <c r="B35" s="423">
        <v>0</v>
      </c>
      <c r="C35" s="423">
        <v>0</v>
      </c>
      <c r="D35" s="423">
        <v>0</v>
      </c>
      <c r="E35" s="1849">
        <v>10500</v>
      </c>
      <c r="F35" s="1795">
        <f t="shared" ref="F35:H35" si="15">E35-($E$35/3)</f>
        <v>7000</v>
      </c>
      <c r="G35" s="1795">
        <f t="shared" si="15"/>
        <v>3500</v>
      </c>
      <c r="H35" s="1857">
        <f t="shared" si="15"/>
        <v>0</v>
      </c>
      <c r="I35" s="3"/>
    </row>
    <row r="36" spans="1:9" ht="18" customHeight="1">
      <c r="A36" s="463" t="s">
        <v>814</v>
      </c>
      <c r="B36" s="423">
        <v>0</v>
      </c>
      <c r="C36" s="423">
        <v>0</v>
      </c>
      <c r="D36" s="423">
        <v>0</v>
      </c>
      <c r="E36" s="1849">
        <v>6000</v>
      </c>
      <c r="F36" s="1795">
        <f t="shared" ref="F36:H36" si="16">E36-($E$36/3)</f>
        <v>4000</v>
      </c>
      <c r="G36" s="1795">
        <f t="shared" si="16"/>
        <v>2000</v>
      </c>
      <c r="H36" s="1857">
        <f t="shared" si="16"/>
        <v>0</v>
      </c>
      <c r="I36" s="3"/>
    </row>
    <row r="37" spans="1:9" ht="18" customHeight="1">
      <c r="A37" s="463" t="s">
        <v>815</v>
      </c>
      <c r="B37" s="423">
        <v>0</v>
      </c>
      <c r="C37" s="423">
        <v>0</v>
      </c>
      <c r="D37" s="423">
        <v>0</v>
      </c>
      <c r="E37" s="1849">
        <v>750</v>
      </c>
      <c r="F37" s="1795">
        <f t="shared" ref="F37:H37" si="17">E37-($E$37/5)</f>
        <v>600</v>
      </c>
      <c r="G37" s="1795">
        <f t="shared" si="17"/>
        <v>450</v>
      </c>
      <c r="H37" s="1857">
        <f t="shared" si="17"/>
        <v>300</v>
      </c>
      <c r="I37" s="3"/>
    </row>
    <row r="38" spans="1:9" ht="18" customHeight="1">
      <c r="A38" s="463" t="s">
        <v>478</v>
      </c>
      <c r="B38" s="423">
        <v>0</v>
      </c>
      <c r="C38" s="423">
        <v>0</v>
      </c>
      <c r="D38" s="423">
        <v>0</v>
      </c>
      <c r="E38" s="1849">
        <v>1500</v>
      </c>
      <c r="F38" s="1795">
        <f t="shared" ref="F38:H38" si="18">E38-($E$38/5)</f>
        <v>1200</v>
      </c>
      <c r="G38" s="1795">
        <f t="shared" si="18"/>
        <v>900</v>
      </c>
      <c r="H38" s="1857">
        <f t="shared" si="18"/>
        <v>600</v>
      </c>
      <c r="I38" s="3"/>
    </row>
    <row r="39" spans="1:9" ht="18" customHeight="1">
      <c r="A39" s="463" t="s">
        <v>816</v>
      </c>
      <c r="B39" s="423">
        <v>0</v>
      </c>
      <c r="C39" s="423">
        <v>0</v>
      </c>
      <c r="D39" s="423">
        <v>0</v>
      </c>
      <c r="E39" s="1849">
        <v>0</v>
      </c>
      <c r="F39" s="1794">
        <v>0</v>
      </c>
      <c r="G39" s="1794">
        <v>0</v>
      </c>
      <c r="H39" s="1852">
        <v>0</v>
      </c>
      <c r="I39" s="3"/>
    </row>
    <row r="40" spans="1:9" ht="18" customHeight="1">
      <c r="A40" s="463" t="s">
        <v>817</v>
      </c>
      <c r="B40" s="423">
        <v>0</v>
      </c>
      <c r="C40" s="423">
        <v>0</v>
      </c>
      <c r="D40" s="423">
        <v>0</v>
      </c>
      <c r="E40" s="1849">
        <v>0</v>
      </c>
      <c r="F40" s="1794">
        <v>0</v>
      </c>
      <c r="G40" s="1794">
        <v>0</v>
      </c>
      <c r="H40" s="1852">
        <v>0</v>
      </c>
      <c r="I40" s="3"/>
    </row>
    <row r="41" spans="1:9" ht="18" customHeight="1">
      <c r="A41" s="463" t="s">
        <v>818</v>
      </c>
      <c r="B41" s="423">
        <v>0</v>
      </c>
      <c r="C41" s="423">
        <v>0</v>
      </c>
      <c r="D41" s="423">
        <v>0</v>
      </c>
      <c r="E41" s="1849">
        <v>0</v>
      </c>
      <c r="F41" s="1794">
        <v>0</v>
      </c>
      <c r="G41" s="1794">
        <v>0</v>
      </c>
      <c r="H41" s="1852">
        <v>0</v>
      </c>
      <c r="I41" s="3"/>
    </row>
    <row r="42" spans="1:9" ht="18" customHeight="1">
      <c r="A42" s="463" t="s">
        <v>819</v>
      </c>
      <c r="B42" s="423">
        <v>0</v>
      </c>
      <c r="C42" s="423">
        <v>0</v>
      </c>
      <c r="D42" s="423">
        <v>0</v>
      </c>
      <c r="E42" s="1849">
        <v>0</v>
      </c>
      <c r="F42" s="1794">
        <v>0</v>
      </c>
      <c r="G42" s="1794">
        <v>0</v>
      </c>
      <c r="H42" s="1852">
        <v>0</v>
      </c>
      <c r="I42" s="3"/>
    </row>
    <row r="43" spans="1:9" ht="18" customHeight="1">
      <c r="A43" s="154" t="s">
        <v>820</v>
      </c>
      <c r="B43" s="809">
        <v>0</v>
      </c>
      <c r="C43" s="809">
        <v>0</v>
      </c>
      <c r="D43" s="809">
        <v>0</v>
      </c>
      <c r="E43" s="1861">
        <v>423.9</v>
      </c>
      <c r="F43" s="1862">
        <f t="shared" ref="F43:H43" si="19">E43-($E$43/5)</f>
        <v>339.12</v>
      </c>
      <c r="G43" s="1862">
        <f t="shared" si="19"/>
        <v>254.34</v>
      </c>
      <c r="H43" s="1863">
        <f t="shared" si="19"/>
        <v>169.56</v>
      </c>
      <c r="I43" s="3"/>
    </row>
    <row r="44" spans="1:9" ht="18" customHeight="1">
      <c r="A44" s="810" t="s">
        <v>825</v>
      </c>
      <c r="B44" s="423">
        <v>0</v>
      </c>
      <c r="C44" s="423">
        <v>0</v>
      </c>
      <c r="D44" s="423">
        <v>0</v>
      </c>
      <c r="E44" s="1795">
        <f t="shared" ref="E44:G44" si="20">SUM(E35:E43)</f>
        <v>19173.900000000001</v>
      </c>
      <c r="F44" s="1795">
        <f t="shared" si="20"/>
        <v>13139.12</v>
      </c>
      <c r="G44" s="1795">
        <f t="shared" si="20"/>
        <v>7104.34</v>
      </c>
      <c r="H44" s="1857">
        <f>SUM(H37:H43)</f>
        <v>1069.56</v>
      </c>
      <c r="I44" s="3"/>
    </row>
    <row r="45" spans="1:9" ht="18" customHeight="1">
      <c r="A45" s="466" t="s">
        <v>828</v>
      </c>
      <c r="B45" s="805">
        <v>0</v>
      </c>
      <c r="C45" s="805">
        <v>0</v>
      </c>
      <c r="D45" s="805">
        <v>0</v>
      </c>
      <c r="E45" s="1851">
        <v>0</v>
      </c>
      <c r="F45" s="1850">
        <f t="shared" ref="F45:H45" si="21">($E$35/3)+($E$36/3)+($E$37/5)+($E$38/5)+($E$43/5)</f>
        <v>6034.78</v>
      </c>
      <c r="G45" s="1850">
        <f t="shared" si="21"/>
        <v>6034.78</v>
      </c>
      <c r="H45" s="1860">
        <f t="shared" si="21"/>
        <v>6034.78</v>
      </c>
      <c r="I45" s="3"/>
    </row>
    <row r="46" spans="1:9" ht="18" customHeight="1">
      <c r="A46" s="3"/>
      <c r="B46" s="3"/>
      <c r="C46" s="3"/>
      <c r="D46" s="3"/>
      <c r="E46" s="3"/>
      <c r="F46" s="3"/>
      <c r="G46" s="3"/>
      <c r="H46" s="3"/>
      <c r="I46" s="3"/>
    </row>
    <row r="47" spans="1:9" ht="18" customHeight="1">
      <c r="A47" s="811"/>
      <c r="B47" s="1170" t="s">
        <v>22</v>
      </c>
      <c r="C47" s="1168" t="s">
        <v>23</v>
      </c>
      <c r="D47" s="1168" t="s">
        <v>24</v>
      </c>
      <c r="E47" s="1168" t="s">
        <v>25</v>
      </c>
      <c r="F47" s="1168" t="s">
        <v>26</v>
      </c>
      <c r="G47" s="1169" t="s">
        <v>27</v>
      </c>
      <c r="H47" s="3"/>
      <c r="I47" s="3"/>
    </row>
    <row r="48" spans="1:9" ht="18" customHeight="1">
      <c r="A48" s="1171" t="s">
        <v>829</v>
      </c>
      <c r="B48" s="1850">
        <f t="shared" ref="B48:G48" si="22">B31+B45</f>
        <v>0</v>
      </c>
      <c r="C48" s="1850">
        <f t="shared" si="22"/>
        <v>74409.98533333333</v>
      </c>
      <c r="D48" s="1850">
        <f t="shared" si="22"/>
        <v>74409.98533333333</v>
      </c>
      <c r="E48" s="1850">
        <f t="shared" si="22"/>
        <v>74409.98533333333</v>
      </c>
      <c r="F48" s="1850">
        <f t="shared" si="22"/>
        <v>77611.432000000001</v>
      </c>
      <c r="G48" s="1860">
        <f t="shared" si="22"/>
        <v>77611.432000000001</v>
      </c>
      <c r="H48" s="3"/>
      <c r="I48" s="3"/>
    </row>
    <row r="49" spans="1:9" ht="18" customHeight="1">
      <c r="A49" s="3"/>
      <c r="B49" s="3"/>
      <c r="C49" s="3"/>
      <c r="D49" s="3"/>
      <c r="E49" s="3"/>
      <c r="F49" s="3"/>
      <c r="G49" s="3"/>
      <c r="H49" s="3"/>
      <c r="I49" s="3"/>
    </row>
    <row r="50" spans="1:9" ht="18" customHeight="1">
      <c r="A50" s="1166" t="s">
        <v>830</v>
      </c>
      <c r="B50" s="3"/>
      <c r="C50" s="3"/>
      <c r="D50" s="3"/>
      <c r="E50" s="3"/>
      <c r="F50" s="3"/>
      <c r="G50" s="3"/>
      <c r="H50" s="3"/>
      <c r="I50" s="3"/>
    </row>
    <row r="51" spans="1:9" ht="18" customHeight="1">
      <c r="A51" s="202" t="s">
        <v>813</v>
      </c>
      <c r="B51" s="1864">
        <v>3500</v>
      </c>
      <c r="C51" s="3"/>
      <c r="D51" s="3"/>
      <c r="E51" s="3"/>
      <c r="F51" s="3"/>
      <c r="G51" s="3"/>
      <c r="H51" s="3"/>
      <c r="I51" s="3"/>
    </row>
    <row r="52" spans="1:9" ht="18" customHeight="1">
      <c r="A52" s="202" t="s">
        <v>814</v>
      </c>
      <c r="B52" s="1865">
        <v>2000</v>
      </c>
      <c r="C52" s="3"/>
      <c r="D52" s="3"/>
      <c r="E52" s="3"/>
      <c r="F52" s="3"/>
      <c r="G52" s="3"/>
      <c r="H52" s="3"/>
      <c r="I52" s="3"/>
    </row>
    <row r="53" spans="1:9" ht="18" customHeight="1">
      <c r="A53" s="202" t="s">
        <v>815</v>
      </c>
      <c r="B53" s="1865">
        <v>450</v>
      </c>
      <c r="C53" s="3"/>
      <c r="D53" s="3"/>
      <c r="E53" s="3"/>
      <c r="F53" s="3"/>
      <c r="G53" s="3"/>
      <c r="H53" s="3"/>
      <c r="I53" s="3"/>
    </row>
    <row r="54" spans="1:9" ht="18" customHeight="1">
      <c r="A54" s="202" t="s">
        <v>478</v>
      </c>
      <c r="B54" s="1865">
        <v>900</v>
      </c>
      <c r="C54" s="3"/>
      <c r="D54" s="3"/>
      <c r="E54" s="3"/>
      <c r="F54" s="3"/>
      <c r="G54" s="3"/>
      <c r="H54" s="3"/>
      <c r="I54" s="3"/>
    </row>
    <row r="55" spans="1:9" ht="18" customHeight="1">
      <c r="A55" s="202" t="s">
        <v>816</v>
      </c>
      <c r="B55" s="1866">
        <v>0</v>
      </c>
      <c r="C55" s="3"/>
      <c r="D55" s="3"/>
      <c r="E55" s="3"/>
      <c r="F55" s="3"/>
      <c r="G55" s="3"/>
      <c r="H55" s="3"/>
      <c r="I55" s="3"/>
    </row>
    <row r="56" spans="1:9" ht="18" customHeight="1">
      <c r="A56" s="202" t="s">
        <v>817</v>
      </c>
      <c r="B56" s="1866">
        <v>0</v>
      </c>
      <c r="C56" s="3"/>
      <c r="D56" s="3"/>
      <c r="E56" s="3"/>
      <c r="F56" s="3"/>
      <c r="G56" s="3"/>
      <c r="H56" s="3"/>
      <c r="I56" s="3"/>
    </row>
    <row r="57" spans="1:9" ht="18" customHeight="1">
      <c r="A57" s="202" t="s">
        <v>818</v>
      </c>
      <c r="B57" s="1866">
        <v>0</v>
      </c>
      <c r="C57" s="3"/>
      <c r="D57" s="3"/>
      <c r="E57" s="3"/>
      <c r="F57" s="3"/>
      <c r="G57" s="3"/>
      <c r="H57" s="3"/>
      <c r="I57" s="3"/>
    </row>
    <row r="58" spans="1:9" ht="18" customHeight="1">
      <c r="A58" s="202" t="s">
        <v>819</v>
      </c>
      <c r="B58" s="1866">
        <v>0</v>
      </c>
      <c r="C58" s="3"/>
      <c r="D58" s="3"/>
      <c r="E58" s="3"/>
      <c r="F58" s="3"/>
      <c r="G58" s="3"/>
      <c r="H58" s="3"/>
      <c r="I58" s="3"/>
    </row>
    <row r="59" spans="1:9" ht="18" customHeight="1">
      <c r="A59" s="202" t="s">
        <v>820</v>
      </c>
      <c r="B59" s="1867">
        <v>254.34</v>
      </c>
      <c r="C59" s="3"/>
      <c r="D59" s="3"/>
      <c r="E59" s="3"/>
      <c r="F59" s="3"/>
      <c r="G59" s="3"/>
      <c r="H59" s="3"/>
      <c r="I59" s="3"/>
    </row>
    <row r="60" spans="1:9" ht="18" customHeight="1">
      <c r="A60" s="807" t="s">
        <v>375</v>
      </c>
      <c r="B60" s="1868">
        <v>7104.34</v>
      </c>
      <c r="C60" s="14" t="s">
        <v>831</v>
      </c>
      <c r="D60" s="3"/>
      <c r="E60" s="3"/>
      <c r="F60" s="3"/>
      <c r="G60" s="3"/>
      <c r="H60" s="3"/>
      <c r="I60" s="3"/>
    </row>
    <row r="61" spans="1:9" ht="16">
      <c r="A61" s="3"/>
      <c r="B61" s="3"/>
      <c r="C61" s="3"/>
      <c r="D61" s="3"/>
      <c r="E61" s="3"/>
      <c r="F61" s="3"/>
      <c r="G61" s="3"/>
      <c r="H61" s="3"/>
      <c r="I61" s="3"/>
    </row>
    <row r="62" spans="1:9" ht="16">
      <c r="A62" s="3"/>
      <c r="B62" s="3"/>
      <c r="C62" s="3"/>
      <c r="D62" s="3"/>
      <c r="E62" s="3"/>
      <c r="F62" s="3"/>
      <c r="G62" s="3"/>
      <c r="H62" s="3"/>
      <c r="I62" s="3"/>
    </row>
    <row r="63" spans="1:9" ht="16">
      <c r="A63" s="3"/>
      <c r="B63" s="3"/>
      <c r="C63" s="3"/>
      <c r="D63" s="3"/>
      <c r="E63" s="3"/>
      <c r="F63" s="3"/>
      <c r="G63" s="3"/>
      <c r="H63" s="3"/>
      <c r="I63" s="3"/>
    </row>
  </sheetData>
  <mergeCells count="1">
    <mergeCell ref="A18:H18"/>
  </mergeCells>
  <hyperlinks>
    <hyperlink ref="A1" location="Index!A1" display="Index" xr:uid="{4CB10BC8-9772-1148-B644-13D3E5C727DF}"/>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outlinePr summaryBelow="0" summaryRight="0"/>
  </sheetPr>
  <dimension ref="A1:Q188"/>
  <sheetViews>
    <sheetView topLeftCell="K11" zoomScale="94" workbookViewId="0">
      <selection activeCell="L29" sqref="L29:P35"/>
    </sheetView>
  </sheetViews>
  <sheetFormatPr baseColWidth="10" defaultColWidth="14.33203125" defaultRowHeight="15.75" customHeight="1"/>
  <cols>
    <col min="1" max="1" width="26.1640625" bestFit="1" customWidth="1"/>
    <col min="2" max="2" width="41.83203125" customWidth="1"/>
    <col min="3" max="10" width="15.1640625" customWidth="1"/>
    <col min="11" max="11" width="17.1640625" customWidth="1"/>
    <col min="12" max="12" width="27.83203125" customWidth="1"/>
    <col min="13" max="14" width="16" customWidth="1"/>
    <col min="15" max="15" width="39" customWidth="1"/>
    <col min="16" max="16" width="16" customWidth="1"/>
  </cols>
  <sheetData>
    <row r="1" spans="1:11" ht="26">
      <c r="A1" s="902" t="s">
        <v>0</v>
      </c>
    </row>
    <row r="2" spans="1:11" ht="14" customHeight="1">
      <c r="A2" s="321"/>
    </row>
    <row r="3" spans="1:11" ht="14" customHeight="1">
      <c r="A3" s="321"/>
    </row>
    <row r="4" spans="1:11" ht="14" customHeight="1">
      <c r="A4" s="321"/>
    </row>
    <row r="5" spans="1:11" ht="14" customHeight="1">
      <c r="A5" s="321"/>
    </row>
    <row r="6" spans="1:11" ht="14" customHeight="1">
      <c r="A6" s="321"/>
    </row>
    <row r="7" spans="1:11" ht="14" customHeight="1"/>
    <row r="8" spans="1:11" ht="14" customHeight="1">
      <c r="I8" s="81"/>
      <c r="J8" s="81"/>
      <c r="K8" s="101"/>
    </row>
    <row r="9" spans="1:11" ht="15.75" customHeight="1">
      <c r="I9" s="81"/>
      <c r="J9" s="81"/>
      <c r="K9" s="101"/>
    </row>
    <row r="17" spans="1:17" ht="13">
      <c r="K17" s="15"/>
      <c r="L17" s="15"/>
      <c r="M17" s="15"/>
    </row>
    <row r="18" spans="1:17" ht="13">
      <c r="K18" s="15"/>
      <c r="L18" s="15"/>
      <c r="M18" s="15"/>
    </row>
    <row r="19" spans="1:17" ht="13">
      <c r="K19" s="15"/>
      <c r="L19" s="15"/>
      <c r="M19" s="15"/>
    </row>
    <row r="23" spans="1:17" ht="13">
      <c r="O23" s="322"/>
    </row>
    <row r="24" spans="1:17" ht="13">
      <c r="O24" s="322"/>
    </row>
    <row r="27" spans="1:17" ht="15.75" customHeight="1" thickBot="1"/>
    <row r="28" spans="1:17" ht="27" thickTop="1" thickBot="1">
      <c r="A28" s="2021" t="s">
        <v>336</v>
      </c>
      <c r="B28" s="2022"/>
      <c r="C28" s="2022"/>
      <c r="D28" s="2022"/>
      <c r="E28" s="2022"/>
      <c r="F28" s="2022"/>
      <c r="G28" s="2022"/>
      <c r="H28" s="2022"/>
      <c r="I28" s="2022"/>
      <c r="J28" s="2023"/>
      <c r="L28" s="2024" t="s">
        <v>337</v>
      </c>
      <c r="M28" s="2025"/>
      <c r="N28" s="2025"/>
      <c r="O28" s="2025"/>
      <c r="P28" s="2026"/>
    </row>
    <row r="29" spans="1:17" ht="36" thickTop="1" thickBot="1">
      <c r="A29" s="323"/>
      <c r="B29" s="324"/>
      <c r="C29" s="1007" t="s">
        <v>338</v>
      </c>
      <c r="D29" s="1007" t="s">
        <v>339</v>
      </c>
      <c r="E29" s="1007" t="s">
        <v>340</v>
      </c>
      <c r="F29" s="1007" t="s">
        <v>341</v>
      </c>
      <c r="G29" s="1007" t="s">
        <v>342</v>
      </c>
      <c r="H29" s="1007" t="s">
        <v>343</v>
      </c>
      <c r="I29" s="1007" t="s">
        <v>344</v>
      </c>
      <c r="J29" s="1008" t="s">
        <v>345</v>
      </c>
      <c r="K29" s="41"/>
      <c r="L29" s="1013" t="s">
        <v>182</v>
      </c>
      <c r="M29" s="1014" t="s">
        <v>343</v>
      </c>
      <c r="N29" s="1015" t="s">
        <v>346</v>
      </c>
      <c r="O29" s="1015" t="s">
        <v>347</v>
      </c>
      <c r="P29" s="1016" t="s">
        <v>348</v>
      </c>
      <c r="Q29" s="41"/>
    </row>
    <row r="30" spans="1:17" ht="17" thickTop="1">
      <c r="A30" s="325" t="s">
        <v>349</v>
      </c>
      <c r="B30" s="326"/>
      <c r="C30" s="326"/>
      <c r="D30" s="326"/>
      <c r="E30" s="327"/>
      <c r="F30" s="328">
        <f>SUM(F31)</f>
        <v>19.93</v>
      </c>
      <c r="G30" s="326"/>
      <c r="H30" s="326"/>
      <c r="I30" s="326"/>
      <c r="J30" s="329"/>
      <c r="K30" s="206"/>
      <c r="L30" s="1017">
        <v>0</v>
      </c>
      <c r="M30" s="330">
        <f>H52</f>
        <v>1574.3999999999999</v>
      </c>
      <c r="N30" s="155">
        <f>ROUNDDOWN(M30,-4)/$M$38</f>
        <v>0</v>
      </c>
      <c r="O30" s="331">
        <f t="shared" ref="O30:O35" si="0">N30*$M$37</f>
        <v>0</v>
      </c>
      <c r="P30" s="1018">
        <f>F52</f>
        <v>47.510000000000005</v>
      </c>
      <c r="Q30" s="44"/>
    </row>
    <row r="31" spans="1:17" ht="16">
      <c r="A31" s="164"/>
      <c r="B31" s="145" t="s">
        <v>349</v>
      </c>
      <c r="C31" s="145" t="s">
        <v>350</v>
      </c>
      <c r="D31" s="1381">
        <v>1</v>
      </c>
      <c r="E31" s="1382">
        <v>19.93</v>
      </c>
      <c r="F31" s="346">
        <f>E31*D31</f>
        <v>19.93</v>
      </c>
      <c r="G31" s="346">
        <f>F31*0.3</f>
        <v>5.9790000000000001</v>
      </c>
      <c r="H31" s="368">
        <f>$H$52*D31</f>
        <v>1574.3999999999999</v>
      </c>
      <c r="I31" s="124">
        <f>SQRT((2*H31*F31))/G31</f>
        <v>41.898418879468842</v>
      </c>
      <c r="J31" s="344">
        <f>I31*F31</f>
        <v>835.035488267814</v>
      </c>
      <c r="K31" s="333"/>
      <c r="L31" s="1017">
        <v>1</v>
      </c>
      <c r="M31" s="330">
        <f>SUM('OM Aggregate Hybrid Plan Y0-5'!P31:P34)</f>
        <v>10440</v>
      </c>
      <c r="N31" s="155">
        <f t="shared" ref="N31:N35" si="1">ROUNDDOWN(M31,-4)/$M$38</f>
        <v>1</v>
      </c>
      <c r="O31" s="331">
        <f t="shared" si="0"/>
        <v>0.03</v>
      </c>
      <c r="P31" s="1019">
        <f>F79</f>
        <v>46.084700000000005</v>
      </c>
      <c r="Q31" s="44"/>
    </row>
    <row r="32" spans="1:17" ht="16">
      <c r="A32" s="335" t="s">
        <v>351</v>
      </c>
      <c r="B32" s="336"/>
      <c r="C32" s="336"/>
      <c r="D32" s="336"/>
      <c r="E32" s="337"/>
      <c r="F32" s="338">
        <f>SUM(F33:F35)</f>
        <v>7.79</v>
      </c>
      <c r="G32" s="336"/>
      <c r="H32" s="339"/>
      <c r="I32" s="340"/>
      <c r="J32" s="341"/>
      <c r="K32" s="342"/>
      <c r="L32" s="1020">
        <v>2</v>
      </c>
      <c r="M32" s="330">
        <f>SUM('OM Aggregate Hybrid Plan Y0-5'!P56:P59)</f>
        <v>18302.400000000001</v>
      </c>
      <c r="N32" s="155">
        <f t="shared" si="1"/>
        <v>1</v>
      </c>
      <c r="O32" s="331">
        <f t="shared" si="0"/>
        <v>0.03</v>
      </c>
      <c r="P32" s="1019">
        <f>F106</f>
        <v>46.084700000000005</v>
      </c>
      <c r="Q32" s="44"/>
    </row>
    <row r="33" spans="1:17" ht="16">
      <c r="A33" s="164"/>
      <c r="B33" s="145" t="s">
        <v>352</v>
      </c>
      <c r="C33" s="145" t="s">
        <v>353</v>
      </c>
      <c r="D33" s="1381">
        <v>1</v>
      </c>
      <c r="E33" s="1382">
        <v>3</v>
      </c>
      <c r="F33" s="346">
        <f>E33*D33</f>
        <v>3</v>
      </c>
      <c r="G33" s="346">
        <f t="shared" ref="G33:G35" si="2">F33*0.3</f>
        <v>0.89999999999999991</v>
      </c>
      <c r="H33" s="368">
        <f t="shared" ref="H33:H35" si="3">$H$52*D33</f>
        <v>1574.3999999999999</v>
      </c>
      <c r="I33" s="124">
        <f t="shared" ref="I33:I35" si="4">SQRT((2*H33*F33))/G33</f>
        <v>107.99176923368847</v>
      </c>
      <c r="J33" s="344">
        <f t="shared" ref="J33:J35" si="5">I33*F33</f>
        <v>323.97530770106539</v>
      </c>
      <c r="K33" s="333"/>
      <c r="L33" s="1020">
        <v>3</v>
      </c>
      <c r="M33" s="330">
        <f>SUM('OM Aggregate Hybrid Plan Y0-5'!P82:P85)</f>
        <v>42393.599999999999</v>
      </c>
      <c r="N33" s="155">
        <f t="shared" si="1"/>
        <v>4</v>
      </c>
      <c r="O33" s="331">
        <f t="shared" si="0"/>
        <v>0.12</v>
      </c>
      <c r="P33" s="1019">
        <f>F133</f>
        <v>41.808800000000005</v>
      </c>
      <c r="Q33" s="44"/>
    </row>
    <row r="34" spans="1:17" ht="16">
      <c r="A34" s="164"/>
      <c r="B34" s="145" t="s">
        <v>354</v>
      </c>
      <c r="C34" s="145" t="s">
        <v>353</v>
      </c>
      <c r="D34" s="1381">
        <v>1</v>
      </c>
      <c r="E34" s="1382">
        <v>3.99</v>
      </c>
      <c r="F34" s="346">
        <f t="shared" ref="F34:F35" si="6">E34*D34</f>
        <v>3.99</v>
      </c>
      <c r="G34" s="346">
        <f t="shared" si="2"/>
        <v>1.1970000000000001</v>
      </c>
      <c r="H34" s="368">
        <f t="shared" si="3"/>
        <v>1574.3999999999999</v>
      </c>
      <c r="I34" s="124">
        <f t="shared" si="4"/>
        <v>93.640739729079399</v>
      </c>
      <c r="J34" s="344">
        <f t="shared" si="5"/>
        <v>373.6265515190268</v>
      </c>
      <c r="K34" s="333"/>
      <c r="L34" s="1020">
        <v>4</v>
      </c>
      <c r="M34" s="330">
        <f>SUM('OM Aggregate Hybrid Plan Y0-5'!P107:P110)</f>
        <v>54475.199999999997</v>
      </c>
      <c r="N34" s="155">
        <f t="shared" si="1"/>
        <v>5</v>
      </c>
      <c r="O34" s="331">
        <f t="shared" si="0"/>
        <v>0.15</v>
      </c>
      <c r="P34" s="1019">
        <f>F160</f>
        <v>40.383500000000005</v>
      </c>
      <c r="Q34" s="44"/>
    </row>
    <row r="35" spans="1:17" ht="17" thickBot="1">
      <c r="A35" s="164"/>
      <c r="B35" s="145" t="s">
        <v>355</v>
      </c>
      <c r="C35" s="145" t="s">
        <v>353</v>
      </c>
      <c r="D35" s="1381">
        <v>1</v>
      </c>
      <c r="E35" s="1382">
        <v>0.8</v>
      </c>
      <c r="F35" s="346">
        <f t="shared" si="6"/>
        <v>0.8</v>
      </c>
      <c r="G35" s="346">
        <f t="shared" si="2"/>
        <v>0.24</v>
      </c>
      <c r="H35" s="368">
        <f t="shared" si="3"/>
        <v>1574.3999999999999</v>
      </c>
      <c r="I35" s="124">
        <f t="shared" si="4"/>
        <v>209.12516188477497</v>
      </c>
      <c r="J35" s="344">
        <f t="shared" si="5"/>
        <v>167.30012950781997</v>
      </c>
      <c r="K35" s="333"/>
      <c r="L35" s="1021">
        <v>5</v>
      </c>
      <c r="M35" s="1022">
        <f>SUM('OM Aggregate Hybrid Plan Y0-5'!P132:P135)</f>
        <v>69619.199999999997</v>
      </c>
      <c r="N35" s="1023">
        <f t="shared" si="1"/>
        <v>6</v>
      </c>
      <c r="O35" s="1024">
        <f t="shared" si="0"/>
        <v>0.18</v>
      </c>
      <c r="P35" s="1025">
        <f>F187</f>
        <v>38.958200000000005</v>
      </c>
    </row>
    <row r="36" spans="1:17" ht="17" thickBot="1">
      <c r="A36" s="335" t="s">
        <v>356</v>
      </c>
      <c r="B36" s="336"/>
      <c r="C36" s="336"/>
      <c r="D36" s="336"/>
      <c r="E36" s="337"/>
      <c r="F36" s="338">
        <f>SUM(F37:F49)</f>
        <v>19.290000000000003</v>
      </c>
      <c r="G36" s="336"/>
      <c r="H36" s="339"/>
      <c r="I36" s="340"/>
      <c r="J36" s="341"/>
      <c r="K36" s="333"/>
      <c r="L36" s="2027" t="s">
        <v>357</v>
      </c>
      <c r="M36" s="2028"/>
      <c r="N36" s="1520" t="s">
        <v>1090</v>
      </c>
      <c r="O36" s="345"/>
      <c r="P36" s="345"/>
    </row>
    <row r="37" spans="1:17" ht="16">
      <c r="A37" s="164"/>
      <c r="B37" s="145" t="s">
        <v>358</v>
      </c>
      <c r="C37" s="145" t="s">
        <v>350</v>
      </c>
      <c r="D37" s="1381">
        <v>1</v>
      </c>
      <c r="E37" s="1382">
        <v>2.5</v>
      </c>
      <c r="F37" s="346">
        <f>E37*D37</f>
        <v>2.5</v>
      </c>
      <c r="G37" s="346">
        <f t="shared" ref="G37:G49" si="7">F37*0.3</f>
        <v>0.75</v>
      </c>
      <c r="H37" s="368">
        <f t="shared" ref="H37:H49" si="8">$H$52*D37</f>
        <v>1574.3999999999999</v>
      </c>
      <c r="I37" s="124">
        <f t="shared" ref="I37:I49" si="9">SQRT((2*H37*F37))/G37</f>
        <v>118.29905606836711</v>
      </c>
      <c r="J37" s="344">
        <f t="shared" ref="J37:J49" si="10">I37*F37</f>
        <v>295.74764017091775</v>
      </c>
      <c r="K37" s="333"/>
      <c r="L37" s="1027" t="s">
        <v>359</v>
      </c>
      <c r="M37" s="1388">
        <f>3%*N37</f>
        <v>0.03</v>
      </c>
      <c r="N37" s="1521">
        <v>1</v>
      </c>
      <c r="O37" s="345"/>
      <c r="P37" s="345"/>
    </row>
    <row r="38" spans="1:17" ht="17" thickBot="1">
      <c r="A38" s="164"/>
      <c r="B38" s="145" t="s">
        <v>360</v>
      </c>
      <c r="C38" s="145" t="s">
        <v>353</v>
      </c>
      <c r="D38" s="1381">
        <v>2</v>
      </c>
      <c r="E38" s="1382">
        <v>0.05</v>
      </c>
      <c r="F38" s="346">
        <f t="shared" ref="F38:F49" si="11">E38*D38</f>
        <v>0.1</v>
      </c>
      <c r="G38" s="346">
        <f t="shared" si="7"/>
        <v>0.03</v>
      </c>
      <c r="H38" s="368">
        <f t="shared" si="8"/>
        <v>3148.7999999999997</v>
      </c>
      <c r="I38" s="124">
        <f t="shared" si="9"/>
        <v>836.50064753909987</v>
      </c>
      <c r="J38" s="344">
        <f t="shared" si="10"/>
        <v>83.650064753909987</v>
      </c>
      <c r="K38" s="333"/>
      <c r="L38" s="1026" t="s">
        <v>361</v>
      </c>
      <c r="M38" s="1389">
        <v>10000</v>
      </c>
      <c r="N38" s="345"/>
      <c r="O38" s="345"/>
      <c r="P38" s="345"/>
    </row>
    <row r="39" spans="1:17" ht="16">
      <c r="A39" s="164"/>
      <c r="B39" s="145" t="s">
        <v>362</v>
      </c>
      <c r="C39" s="145" t="s">
        <v>353</v>
      </c>
      <c r="D39" s="1381">
        <v>1</v>
      </c>
      <c r="E39" s="1382">
        <v>3.18</v>
      </c>
      <c r="F39" s="346">
        <f t="shared" si="11"/>
        <v>3.18</v>
      </c>
      <c r="G39" s="346">
        <f t="shared" si="7"/>
        <v>0.95399999999999996</v>
      </c>
      <c r="H39" s="368">
        <f t="shared" si="8"/>
        <v>1574.3999999999999</v>
      </c>
      <c r="I39" s="124">
        <f t="shared" si="9"/>
        <v>104.89087870762977</v>
      </c>
      <c r="J39" s="344">
        <f t="shared" si="10"/>
        <v>333.55299429026269</v>
      </c>
      <c r="K39" s="333"/>
      <c r="L39" s="345"/>
      <c r="M39" s="345"/>
      <c r="N39" s="345"/>
      <c r="O39" s="345"/>
      <c r="P39" s="345"/>
    </row>
    <row r="40" spans="1:17" ht="16">
      <c r="A40" s="164"/>
      <c r="B40" s="145" t="s">
        <v>363</v>
      </c>
      <c r="C40" s="145" t="s">
        <v>350</v>
      </c>
      <c r="D40" s="1381">
        <v>1</v>
      </c>
      <c r="E40" s="1382">
        <v>0.28000000000000003</v>
      </c>
      <c r="F40" s="346">
        <f t="shared" si="11"/>
        <v>0.28000000000000003</v>
      </c>
      <c r="G40" s="346">
        <f t="shared" si="7"/>
        <v>8.4000000000000005E-2</v>
      </c>
      <c r="H40" s="368">
        <f t="shared" si="8"/>
        <v>1574.3999999999999</v>
      </c>
      <c r="I40" s="124">
        <f t="shared" si="9"/>
        <v>353.4860406754147</v>
      </c>
      <c r="J40" s="344">
        <f t="shared" si="10"/>
        <v>98.976091389116121</v>
      </c>
      <c r="K40" s="333"/>
      <c r="L40" s="345"/>
      <c r="M40" s="345"/>
      <c r="N40" s="345"/>
      <c r="O40" s="345"/>
      <c r="P40" s="345"/>
    </row>
    <row r="41" spans="1:17" ht="16">
      <c r="A41" s="164"/>
      <c r="B41" s="145" t="s">
        <v>364</v>
      </c>
      <c r="C41" s="145" t="s">
        <v>353</v>
      </c>
      <c r="D41" s="1381">
        <v>1</v>
      </c>
      <c r="E41" s="1382">
        <v>0.45</v>
      </c>
      <c r="F41" s="346">
        <f t="shared" si="11"/>
        <v>0.45</v>
      </c>
      <c r="G41" s="346">
        <f t="shared" si="7"/>
        <v>0.13500000000000001</v>
      </c>
      <c r="H41" s="368">
        <f t="shared" si="8"/>
        <v>1574.3999999999999</v>
      </c>
      <c r="I41" s="124">
        <f t="shared" si="9"/>
        <v>278.8335491796999</v>
      </c>
      <c r="J41" s="344">
        <f t="shared" si="10"/>
        <v>125.47509713086495</v>
      </c>
      <c r="K41" s="333"/>
      <c r="L41" s="345"/>
      <c r="M41" s="345"/>
      <c r="N41" s="345"/>
      <c r="O41" s="345"/>
      <c r="P41" s="345"/>
    </row>
    <row r="42" spans="1:17" ht="16">
      <c r="A42" s="164"/>
      <c r="B42" s="145" t="s">
        <v>365</v>
      </c>
      <c r="C42" s="145" t="s">
        <v>350</v>
      </c>
      <c r="D42" s="1381">
        <v>2</v>
      </c>
      <c r="E42" s="1382">
        <f>1.98/2</f>
        <v>0.99</v>
      </c>
      <c r="F42" s="346">
        <f t="shared" si="11"/>
        <v>1.98</v>
      </c>
      <c r="G42" s="346">
        <f t="shared" si="7"/>
        <v>0.59399999999999997</v>
      </c>
      <c r="H42" s="368">
        <f t="shared" si="8"/>
        <v>3148.7999999999997</v>
      </c>
      <c r="I42" s="124">
        <f t="shared" si="9"/>
        <v>187.98954050709136</v>
      </c>
      <c r="J42" s="344">
        <f t="shared" si="10"/>
        <v>372.21929020404087</v>
      </c>
      <c r="K42" s="333"/>
      <c r="L42" s="345"/>
      <c r="M42" s="345"/>
      <c r="N42" s="345"/>
      <c r="O42" s="345"/>
      <c r="P42" s="345"/>
    </row>
    <row r="43" spans="1:17" ht="16">
      <c r="A43" s="164"/>
      <c r="B43" s="145" t="s">
        <v>366</v>
      </c>
      <c r="C43" s="145" t="s">
        <v>350</v>
      </c>
      <c r="D43" s="1381">
        <v>2</v>
      </c>
      <c r="E43" s="1382">
        <f>2.7/2</f>
        <v>1.35</v>
      </c>
      <c r="F43" s="346">
        <f t="shared" si="11"/>
        <v>2.7</v>
      </c>
      <c r="G43" s="346">
        <f t="shared" si="7"/>
        <v>0.81</v>
      </c>
      <c r="H43" s="368">
        <f t="shared" si="8"/>
        <v>3148.7999999999997</v>
      </c>
      <c r="I43" s="124">
        <f t="shared" si="9"/>
        <v>160.98462467799851</v>
      </c>
      <c r="J43" s="344">
        <f t="shared" si="10"/>
        <v>434.65848663059603</v>
      </c>
      <c r="K43" s="342"/>
      <c r="L43" s="345"/>
      <c r="M43" s="345"/>
      <c r="N43" s="345"/>
      <c r="O43" s="345"/>
      <c r="P43" s="345"/>
    </row>
    <row r="44" spans="1:17" ht="16">
      <c r="A44" s="164"/>
      <c r="B44" s="145" t="s">
        <v>367</v>
      </c>
      <c r="C44" s="145" t="s">
        <v>353</v>
      </c>
      <c r="D44" s="1381">
        <v>4</v>
      </c>
      <c r="E44" s="1382">
        <v>0.5</v>
      </c>
      <c r="F44" s="346">
        <f t="shared" si="11"/>
        <v>2</v>
      </c>
      <c r="G44" s="346">
        <f t="shared" si="7"/>
        <v>0.6</v>
      </c>
      <c r="H44" s="368">
        <f t="shared" si="8"/>
        <v>6297.5999999999995</v>
      </c>
      <c r="I44" s="124">
        <f t="shared" si="9"/>
        <v>264.5247310429279</v>
      </c>
      <c r="J44" s="344">
        <f t="shared" si="10"/>
        <v>529.04946208585579</v>
      </c>
      <c r="K44" s="342"/>
      <c r="L44" s="345"/>
      <c r="M44" s="345"/>
      <c r="N44" s="345"/>
      <c r="O44" s="345"/>
      <c r="P44" s="345"/>
    </row>
    <row r="45" spans="1:17" ht="16">
      <c r="A45" s="164"/>
      <c r="B45" s="145" t="s">
        <v>368</v>
      </c>
      <c r="C45" s="145" t="s">
        <v>353</v>
      </c>
      <c r="D45" s="1381">
        <v>2</v>
      </c>
      <c r="E45" s="1382">
        <v>0.8</v>
      </c>
      <c r="F45" s="346">
        <f t="shared" si="11"/>
        <v>1.6</v>
      </c>
      <c r="G45" s="346">
        <f t="shared" si="7"/>
        <v>0.48</v>
      </c>
      <c r="H45" s="368">
        <f t="shared" si="8"/>
        <v>3148.7999999999997</v>
      </c>
      <c r="I45" s="124">
        <f t="shared" si="9"/>
        <v>209.12516188477497</v>
      </c>
      <c r="J45" s="344">
        <f t="shared" si="10"/>
        <v>334.60025901563995</v>
      </c>
      <c r="K45" s="342"/>
      <c r="L45" s="345"/>
      <c r="M45" s="345"/>
      <c r="N45" s="345"/>
      <c r="O45" s="345"/>
      <c r="P45" s="345"/>
    </row>
    <row r="46" spans="1:17" ht="16">
      <c r="A46" s="164"/>
      <c r="B46" s="145" t="s">
        <v>369</v>
      </c>
      <c r="C46" s="145" t="s">
        <v>353</v>
      </c>
      <c r="D46" s="1381">
        <v>1</v>
      </c>
      <c r="E46" s="1382">
        <v>0.8</v>
      </c>
      <c r="F46" s="346">
        <f t="shared" si="11"/>
        <v>0.8</v>
      </c>
      <c r="G46" s="346">
        <f t="shared" si="7"/>
        <v>0.24</v>
      </c>
      <c r="H46" s="368">
        <f t="shared" si="8"/>
        <v>1574.3999999999999</v>
      </c>
      <c r="I46" s="124">
        <f t="shared" si="9"/>
        <v>209.12516188477497</v>
      </c>
      <c r="J46" s="344">
        <f t="shared" si="10"/>
        <v>167.30012950781997</v>
      </c>
      <c r="K46" s="342"/>
      <c r="L46" s="345"/>
      <c r="M46" s="345"/>
      <c r="N46" s="345"/>
      <c r="O46" s="345"/>
      <c r="P46" s="345"/>
    </row>
    <row r="47" spans="1:17" ht="16">
      <c r="A47" s="164"/>
      <c r="B47" s="145" t="s">
        <v>370</v>
      </c>
      <c r="C47" s="145" t="s">
        <v>350</v>
      </c>
      <c r="D47" s="1381">
        <v>1</v>
      </c>
      <c r="E47" s="1382">
        <v>1.2</v>
      </c>
      <c r="F47" s="346">
        <f t="shared" si="11"/>
        <v>1.2</v>
      </c>
      <c r="G47" s="346">
        <f t="shared" si="7"/>
        <v>0.36</v>
      </c>
      <c r="H47" s="368">
        <f t="shared" si="8"/>
        <v>1574.3999999999999</v>
      </c>
      <c r="I47" s="124">
        <f t="shared" si="9"/>
        <v>170.74997966487595</v>
      </c>
      <c r="J47" s="344">
        <f t="shared" si="10"/>
        <v>204.89997559785112</v>
      </c>
      <c r="K47" s="342"/>
      <c r="L47" s="345"/>
      <c r="M47" s="345"/>
      <c r="N47" s="345"/>
      <c r="O47" s="345"/>
      <c r="P47" s="345"/>
    </row>
    <row r="48" spans="1:17" ht="16">
      <c r="A48" s="164"/>
      <c r="B48" s="145" t="s">
        <v>371</v>
      </c>
      <c r="C48" s="145" t="s">
        <v>350</v>
      </c>
      <c r="D48" s="1381">
        <v>2</v>
      </c>
      <c r="E48" s="1382">
        <v>1</v>
      </c>
      <c r="F48" s="346">
        <f t="shared" si="11"/>
        <v>2</v>
      </c>
      <c r="G48" s="346">
        <f t="shared" si="7"/>
        <v>0.6</v>
      </c>
      <c r="H48" s="368">
        <f t="shared" si="8"/>
        <v>3148.7999999999997</v>
      </c>
      <c r="I48" s="124">
        <f t="shared" si="9"/>
        <v>187.04723111200192</v>
      </c>
      <c r="J48" s="344">
        <f t="shared" si="10"/>
        <v>374.09446222400385</v>
      </c>
      <c r="K48" s="342"/>
      <c r="L48" s="345"/>
      <c r="M48" s="345"/>
      <c r="N48" s="345"/>
      <c r="O48" s="345"/>
      <c r="P48" s="345"/>
    </row>
    <row r="49" spans="1:16" ht="16">
      <c r="A49" s="164"/>
      <c r="B49" s="145" t="s">
        <v>372</v>
      </c>
      <c r="C49" s="145" t="s">
        <v>350</v>
      </c>
      <c r="D49" s="1381">
        <v>2</v>
      </c>
      <c r="E49" s="1382">
        <v>0.25</v>
      </c>
      <c r="F49" s="346">
        <f t="shared" si="11"/>
        <v>0.5</v>
      </c>
      <c r="G49" s="346">
        <f t="shared" si="7"/>
        <v>0.15</v>
      </c>
      <c r="H49" s="368">
        <f t="shared" si="8"/>
        <v>3148.7999999999997</v>
      </c>
      <c r="I49" s="124">
        <f t="shared" si="9"/>
        <v>374.09446222400385</v>
      </c>
      <c r="J49" s="344">
        <f t="shared" si="10"/>
        <v>187.04723111200192</v>
      </c>
      <c r="K49" s="342"/>
      <c r="L49" s="345"/>
      <c r="M49" s="345"/>
      <c r="N49" s="345"/>
      <c r="O49" s="345"/>
      <c r="P49" s="345"/>
    </row>
    <row r="50" spans="1:16" ht="16">
      <c r="A50" s="335" t="s">
        <v>373</v>
      </c>
      <c r="B50" s="336"/>
      <c r="C50" s="336"/>
      <c r="D50" s="336"/>
      <c r="E50" s="337"/>
      <c r="F50" s="338">
        <f>SUM(F51)</f>
        <v>0.5</v>
      </c>
      <c r="G50" s="336"/>
      <c r="H50" s="339"/>
      <c r="I50" s="340"/>
      <c r="J50" s="341"/>
      <c r="K50" s="342"/>
      <c r="L50" s="345"/>
      <c r="M50" s="345"/>
      <c r="N50" s="345"/>
      <c r="O50" s="345"/>
      <c r="P50" s="345"/>
    </row>
    <row r="51" spans="1:16" ht="16">
      <c r="A51" s="347"/>
      <c r="B51" s="349" t="s">
        <v>374</v>
      </c>
      <c r="C51" s="349" t="s">
        <v>353</v>
      </c>
      <c r="D51" s="1383">
        <v>1</v>
      </c>
      <c r="E51" s="1384">
        <v>0.5</v>
      </c>
      <c r="F51" s="350">
        <f>E51*D51</f>
        <v>0.5</v>
      </c>
      <c r="G51" s="350">
        <f>F51*0.3</f>
        <v>0.15</v>
      </c>
      <c r="H51" s="368">
        <f>$H$52*D51</f>
        <v>1574.3999999999999</v>
      </c>
      <c r="I51" s="351">
        <f>SQRT((2*H51*F51))/G51</f>
        <v>264.5247310429279</v>
      </c>
      <c r="J51" s="352">
        <f>I51*F51</f>
        <v>132.26236552146395</v>
      </c>
      <c r="K51" s="342"/>
      <c r="L51" s="345"/>
      <c r="M51" s="345"/>
      <c r="N51" s="345"/>
      <c r="O51" s="345"/>
      <c r="P51" s="345"/>
    </row>
    <row r="52" spans="1:16" ht="16">
      <c r="A52" s="353" t="s">
        <v>375</v>
      </c>
      <c r="B52" s="354"/>
      <c r="C52" s="354"/>
      <c r="D52" s="355">
        <f t="shared" ref="D52:E52" si="12">SUM(D31:D51)</f>
        <v>27</v>
      </c>
      <c r="E52" s="356">
        <f t="shared" si="12"/>
        <v>41.570000000000007</v>
      </c>
      <c r="F52" s="356">
        <f>SUM(F30,F32,F36,F50)*(1-O30)</f>
        <v>47.510000000000005</v>
      </c>
      <c r="G52" s="356">
        <f>SUM(G31:G51)</f>
        <v>14.253</v>
      </c>
      <c r="H52" s="357">
        <f>'OM Aggregate Hybrid Plan Y0-5'!P7</f>
        <v>1574.3999999999999</v>
      </c>
      <c r="I52" s="358">
        <f t="shared" ref="I52:J52" si="13">SUM(I31:I51)</f>
        <v>4172.8318859386009</v>
      </c>
      <c r="J52" s="359">
        <f t="shared" si="13"/>
        <v>5373.4710266300717</v>
      </c>
      <c r="L52" s="360"/>
      <c r="M52" s="360"/>
      <c r="N52" s="345"/>
      <c r="O52" s="345"/>
      <c r="P52" s="345"/>
    </row>
    <row r="53" spans="1:16" ht="16">
      <c r="F53" s="238" t="s">
        <v>378</v>
      </c>
      <c r="K53" s="361"/>
      <c r="L53" s="361"/>
      <c r="M53" s="361"/>
      <c r="N53" s="361"/>
      <c r="O53" s="361"/>
      <c r="P53" s="361"/>
    </row>
    <row r="55" spans="1:16" ht="25">
      <c r="A55" s="2021" t="s">
        <v>376</v>
      </c>
      <c r="B55" s="2022"/>
      <c r="C55" s="2022"/>
      <c r="D55" s="2022"/>
      <c r="E55" s="2022"/>
      <c r="F55" s="2022"/>
      <c r="G55" s="2022"/>
      <c r="H55" s="2022"/>
      <c r="I55" s="2022"/>
      <c r="J55" s="2023"/>
    </row>
    <row r="56" spans="1:16" ht="34">
      <c r="A56" s="323"/>
      <c r="B56" s="324"/>
      <c r="C56" s="1007" t="s">
        <v>338</v>
      </c>
      <c r="D56" s="1007" t="s">
        <v>339</v>
      </c>
      <c r="E56" s="1007" t="s">
        <v>340</v>
      </c>
      <c r="F56" s="1007" t="s">
        <v>341</v>
      </c>
      <c r="G56" s="1007" t="s">
        <v>342</v>
      </c>
      <c r="H56" s="1007" t="s">
        <v>377</v>
      </c>
      <c r="I56" s="1007" t="s">
        <v>344</v>
      </c>
      <c r="J56" s="1008" t="s">
        <v>345</v>
      </c>
    </row>
    <row r="57" spans="1:16" ht="16">
      <c r="A57" s="325" t="s">
        <v>349</v>
      </c>
      <c r="B57" s="326"/>
      <c r="C57" s="326"/>
      <c r="D57" s="326"/>
      <c r="E57" s="327"/>
      <c r="F57" s="328">
        <f>SUM(F58)</f>
        <v>19.93</v>
      </c>
      <c r="G57" s="326"/>
      <c r="H57" s="326"/>
      <c r="I57" s="326"/>
      <c r="J57" s="329"/>
    </row>
    <row r="58" spans="1:16" ht="16">
      <c r="A58" s="164"/>
      <c r="B58" s="145" t="s">
        <v>349</v>
      </c>
      <c r="C58" s="145" t="s">
        <v>350</v>
      </c>
      <c r="D58" s="1381">
        <v>1</v>
      </c>
      <c r="E58" s="1382">
        <f>E31</f>
        <v>19.93</v>
      </c>
      <c r="F58" s="346">
        <f>E58*D58</f>
        <v>19.93</v>
      </c>
      <c r="G58" s="346">
        <f>F58*0.3</f>
        <v>5.9790000000000001</v>
      </c>
      <c r="H58" s="368">
        <f>'MK Bases Model (Base Case)'!$B$16*D58</f>
        <v>12788.862937661439</v>
      </c>
      <c r="I58" s="124">
        <f>SQRT((2*H58*F58))/G58</f>
        <v>119.41422384923</v>
      </c>
      <c r="J58" s="344">
        <f>I58*F58</f>
        <v>2379.9254813151538</v>
      </c>
    </row>
    <row r="59" spans="1:16" ht="16">
      <c r="A59" s="335" t="s">
        <v>351</v>
      </c>
      <c r="B59" s="336"/>
      <c r="C59" s="336"/>
      <c r="D59" s="336"/>
      <c r="E59" s="1899"/>
      <c r="F59" s="338">
        <f>SUM(F60:F62)</f>
        <v>7.79</v>
      </c>
      <c r="G59" s="336"/>
      <c r="H59" s="339"/>
      <c r="I59" s="340"/>
      <c r="J59" s="341"/>
    </row>
    <row r="60" spans="1:16" ht="16">
      <c r="A60" s="164"/>
      <c r="B60" s="145" t="s">
        <v>352</v>
      </c>
      <c r="C60" s="145" t="s">
        <v>353</v>
      </c>
      <c r="D60" s="1381">
        <v>1</v>
      </c>
      <c r="E60" s="1382">
        <f t="shared" ref="E60:E78" si="14">E33</f>
        <v>3</v>
      </c>
      <c r="F60" s="346">
        <f>E60*D60</f>
        <v>3</v>
      </c>
      <c r="G60" s="346">
        <f t="shared" ref="G60:G62" si="15">F60*0.3</f>
        <v>0.89999999999999991</v>
      </c>
      <c r="H60" s="368">
        <f>'MK Bases Model (Base Case)'!$B$16*D60</f>
        <v>12788.862937661439</v>
      </c>
      <c r="I60" s="124">
        <f t="shared" ref="I60:I62" si="16">SQRT((2*H60*F60))/G60</f>
        <v>307.78615637606481</v>
      </c>
      <c r="J60" s="344">
        <f t="shared" ref="J60:J62" si="17">I60*F60</f>
        <v>923.35846912819443</v>
      </c>
    </row>
    <row r="61" spans="1:16" ht="16">
      <c r="A61" s="164"/>
      <c r="B61" s="145" t="s">
        <v>354</v>
      </c>
      <c r="C61" s="145" t="s">
        <v>353</v>
      </c>
      <c r="D61" s="1381">
        <v>1</v>
      </c>
      <c r="E61" s="1382">
        <f t="shared" si="14"/>
        <v>3.99</v>
      </c>
      <c r="F61" s="346">
        <f t="shared" ref="F61:F62" si="18">E61*D61</f>
        <v>3.99</v>
      </c>
      <c r="G61" s="346">
        <f t="shared" si="15"/>
        <v>1.1970000000000001</v>
      </c>
      <c r="H61" s="368">
        <f>'MK Bases Model (Base Case)'!$B$16*D61</f>
        <v>12788.862937661439</v>
      </c>
      <c r="I61" s="124">
        <f t="shared" si="16"/>
        <v>266.88444467519554</v>
      </c>
      <c r="J61" s="344">
        <f t="shared" si="17"/>
        <v>1064.8689342540304</v>
      </c>
    </row>
    <row r="62" spans="1:16" ht="16">
      <c r="A62" s="164"/>
      <c r="B62" s="145" t="s">
        <v>355</v>
      </c>
      <c r="C62" s="145" t="s">
        <v>353</v>
      </c>
      <c r="D62" s="1381">
        <v>1</v>
      </c>
      <c r="E62" s="1382">
        <f t="shared" si="14"/>
        <v>0.8</v>
      </c>
      <c r="F62" s="346">
        <f t="shared" si="18"/>
        <v>0.8</v>
      </c>
      <c r="G62" s="346">
        <f t="shared" si="15"/>
        <v>0.24</v>
      </c>
      <c r="H62" s="368">
        <f>'MK Bases Model (Base Case)'!$B$16*D62</f>
        <v>12788.862937661439</v>
      </c>
      <c r="I62" s="124">
        <f t="shared" si="16"/>
        <v>596.02532891884539</v>
      </c>
      <c r="J62" s="344">
        <f t="shared" si="17"/>
        <v>476.82026313507635</v>
      </c>
    </row>
    <row r="63" spans="1:16" ht="16">
      <c r="A63" s="335" t="s">
        <v>356</v>
      </c>
      <c r="B63" s="336"/>
      <c r="C63" s="336"/>
      <c r="D63" s="336"/>
      <c r="E63" s="1899"/>
      <c r="F63" s="338">
        <f>SUM(F64:F76)</f>
        <v>19.290000000000003</v>
      </c>
      <c r="G63" s="336"/>
      <c r="H63" s="339"/>
      <c r="I63" s="340"/>
      <c r="J63" s="341"/>
    </row>
    <row r="64" spans="1:16" ht="16">
      <c r="A64" s="164"/>
      <c r="B64" s="145" t="s">
        <v>358</v>
      </c>
      <c r="C64" s="145" t="s">
        <v>350</v>
      </c>
      <c r="D64" s="1381">
        <v>1</v>
      </c>
      <c r="E64" s="1382">
        <f t="shared" si="14"/>
        <v>2.5</v>
      </c>
      <c r="F64" s="346">
        <f>E64*D64</f>
        <v>2.5</v>
      </c>
      <c r="G64" s="346">
        <f t="shared" ref="G64:G76" si="19">F64*0.3</f>
        <v>0.75</v>
      </c>
      <c r="H64" s="368">
        <f>'MK Bases Model (Base Case)'!$B$16*D64</f>
        <v>12788.862937661439</v>
      </c>
      <c r="I64" s="124">
        <f t="shared" ref="I64:I76" si="20">SQRT((2*H64*F64))/G64</f>
        <v>337.16284146996639</v>
      </c>
      <c r="J64" s="344">
        <f t="shared" ref="J64:J76" si="21">I64*F64</f>
        <v>842.90710367491602</v>
      </c>
    </row>
    <row r="65" spans="1:10" ht="16">
      <c r="A65" s="164"/>
      <c r="B65" s="145" t="s">
        <v>360</v>
      </c>
      <c r="C65" s="145" t="s">
        <v>353</v>
      </c>
      <c r="D65" s="1381">
        <v>2</v>
      </c>
      <c r="E65" s="1382">
        <f t="shared" si="14"/>
        <v>0.05</v>
      </c>
      <c r="F65" s="346">
        <f t="shared" ref="F65:F76" si="22">E65*D65</f>
        <v>0.1</v>
      </c>
      <c r="G65" s="346">
        <f t="shared" si="19"/>
        <v>0.03</v>
      </c>
      <c r="H65" s="368">
        <f>'MK Bases Model (Base Case)'!$B$16*D65</f>
        <v>25577.725875322878</v>
      </c>
      <c r="I65" s="124">
        <f t="shared" si="20"/>
        <v>2384.1013156753816</v>
      </c>
      <c r="J65" s="344">
        <f t="shared" si="21"/>
        <v>238.41013156753817</v>
      </c>
    </row>
    <row r="66" spans="1:10" ht="16">
      <c r="A66" s="164"/>
      <c r="B66" s="145" t="s">
        <v>362</v>
      </c>
      <c r="C66" s="145" t="s">
        <v>353</v>
      </c>
      <c r="D66" s="1381">
        <v>1</v>
      </c>
      <c r="E66" s="1382">
        <f t="shared" si="14"/>
        <v>3.18</v>
      </c>
      <c r="F66" s="346">
        <f t="shared" si="22"/>
        <v>3.18</v>
      </c>
      <c r="G66" s="346">
        <f t="shared" si="19"/>
        <v>0.95399999999999996</v>
      </c>
      <c r="H66" s="368">
        <f>'MK Bases Model (Base Case)'!$B$16*D66</f>
        <v>12788.862937661439</v>
      </c>
      <c r="I66" s="124">
        <f t="shared" si="20"/>
        <v>298.94834231735388</v>
      </c>
      <c r="J66" s="344">
        <f t="shared" si="21"/>
        <v>950.65572856918538</v>
      </c>
    </row>
    <row r="67" spans="1:10" ht="16">
      <c r="A67" s="164"/>
      <c r="B67" s="145" t="s">
        <v>363</v>
      </c>
      <c r="C67" s="145" t="s">
        <v>350</v>
      </c>
      <c r="D67" s="1381">
        <v>1</v>
      </c>
      <c r="E67" s="1382">
        <f t="shared" si="14"/>
        <v>0.28000000000000003</v>
      </c>
      <c r="F67" s="346">
        <f t="shared" si="22"/>
        <v>0.28000000000000003</v>
      </c>
      <c r="G67" s="346">
        <f t="shared" si="19"/>
        <v>8.4000000000000005E-2</v>
      </c>
      <c r="H67" s="368">
        <f>'MK Bases Model (Base Case)'!$B$16*D67</f>
        <v>12788.862937661439</v>
      </c>
      <c r="I67" s="124">
        <f t="shared" si="20"/>
        <v>1007.4666853234513</v>
      </c>
      <c r="J67" s="344">
        <f t="shared" si="21"/>
        <v>282.0906718905664</v>
      </c>
    </row>
    <row r="68" spans="1:10" ht="16">
      <c r="A68" s="164"/>
      <c r="B68" s="145" t="s">
        <v>364</v>
      </c>
      <c r="C68" s="145" t="s">
        <v>353</v>
      </c>
      <c r="D68" s="1381">
        <v>1</v>
      </c>
      <c r="E68" s="1382">
        <f t="shared" si="14"/>
        <v>0.45</v>
      </c>
      <c r="F68" s="346">
        <f t="shared" si="22"/>
        <v>0.45</v>
      </c>
      <c r="G68" s="346">
        <f t="shared" si="19"/>
        <v>0.13500000000000001</v>
      </c>
      <c r="H68" s="368">
        <f>'MK Bases Model (Base Case)'!$B$16*D68</f>
        <v>12788.862937661439</v>
      </c>
      <c r="I68" s="124">
        <f t="shared" si="20"/>
        <v>794.70043855846041</v>
      </c>
      <c r="J68" s="344">
        <f t="shared" si="21"/>
        <v>357.61519735130719</v>
      </c>
    </row>
    <row r="69" spans="1:10" ht="16">
      <c r="A69" s="164"/>
      <c r="B69" s="145" t="s">
        <v>365</v>
      </c>
      <c r="C69" s="145" t="s">
        <v>350</v>
      </c>
      <c r="D69" s="1381">
        <v>2</v>
      </c>
      <c r="E69" s="1382">
        <f t="shared" si="14"/>
        <v>0.99</v>
      </c>
      <c r="F69" s="346">
        <f t="shared" si="22"/>
        <v>1.98</v>
      </c>
      <c r="G69" s="346">
        <f t="shared" si="19"/>
        <v>0.59399999999999997</v>
      </c>
      <c r="H69" s="368">
        <f>'MK Bases Model (Base Case)'!$B$16*D69</f>
        <v>25577.725875322878</v>
      </c>
      <c r="I69" s="124">
        <f t="shared" si="20"/>
        <v>535.7869263755922</v>
      </c>
      <c r="J69" s="344">
        <f t="shared" si="21"/>
        <v>1060.8581142236726</v>
      </c>
    </row>
    <row r="70" spans="1:10" ht="16">
      <c r="A70" s="164"/>
      <c r="B70" s="145" t="s">
        <v>366</v>
      </c>
      <c r="C70" s="145" t="s">
        <v>350</v>
      </c>
      <c r="D70" s="1381">
        <v>2</v>
      </c>
      <c r="E70" s="1382">
        <f t="shared" si="14"/>
        <v>1.35</v>
      </c>
      <c r="F70" s="346">
        <f t="shared" si="22"/>
        <v>2.7</v>
      </c>
      <c r="G70" s="346">
        <f t="shared" si="19"/>
        <v>0.81</v>
      </c>
      <c r="H70" s="368">
        <f>'MK Bases Model (Base Case)'!$B$16*D70</f>
        <v>25577.725875322878</v>
      </c>
      <c r="I70" s="124">
        <f t="shared" si="20"/>
        <v>458.82051212684081</v>
      </c>
      <c r="J70" s="344">
        <f t="shared" si="21"/>
        <v>1238.8153827424703</v>
      </c>
    </row>
    <row r="71" spans="1:10" ht="16">
      <c r="A71" s="164"/>
      <c r="B71" s="145" t="s">
        <v>367</v>
      </c>
      <c r="C71" s="145" t="s">
        <v>353</v>
      </c>
      <c r="D71" s="1381">
        <v>4</v>
      </c>
      <c r="E71" s="1382">
        <f t="shared" si="14"/>
        <v>0.5</v>
      </c>
      <c r="F71" s="346">
        <f t="shared" si="22"/>
        <v>2</v>
      </c>
      <c r="G71" s="346">
        <f t="shared" si="19"/>
        <v>0.6</v>
      </c>
      <c r="H71" s="368">
        <f>'MK Bases Model (Base Case)'!$B$16*D71</f>
        <v>51155.451750645756</v>
      </c>
      <c r="I71" s="124">
        <f t="shared" si="20"/>
        <v>753.91903301383002</v>
      </c>
      <c r="J71" s="344">
        <f t="shared" si="21"/>
        <v>1507.83806602766</v>
      </c>
    </row>
    <row r="72" spans="1:10" ht="16">
      <c r="A72" s="164"/>
      <c r="B72" s="145" t="s">
        <v>368</v>
      </c>
      <c r="C72" s="145" t="s">
        <v>353</v>
      </c>
      <c r="D72" s="1381">
        <v>2</v>
      </c>
      <c r="E72" s="1382">
        <f t="shared" si="14"/>
        <v>0.8</v>
      </c>
      <c r="F72" s="346">
        <f t="shared" si="22"/>
        <v>1.6</v>
      </c>
      <c r="G72" s="346">
        <f t="shared" si="19"/>
        <v>0.48</v>
      </c>
      <c r="H72" s="368">
        <f>'MK Bases Model (Base Case)'!$B$16*D72</f>
        <v>25577.725875322878</v>
      </c>
      <c r="I72" s="124">
        <f t="shared" si="20"/>
        <v>596.02532891884539</v>
      </c>
      <c r="J72" s="344">
        <f t="shared" si="21"/>
        <v>953.64052627015269</v>
      </c>
    </row>
    <row r="73" spans="1:10" ht="16">
      <c r="A73" s="164"/>
      <c r="B73" s="145" t="s">
        <v>369</v>
      </c>
      <c r="C73" s="145" t="s">
        <v>353</v>
      </c>
      <c r="D73" s="1381">
        <v>1</v>
      </c>
      <c r="E73" s="1382">
        <f t="shared" si="14"/>
        <v>0.8</v>
      </c>
      <c r="F73" s="346">
        <f t="shared" si="22"/>
        <v>0.8</v>
      </c>
      <c r="G73" s="346">
        <f t="shared" si="19"/>
        <v>0.24</v>
      </c>
      <c r="H73" s="368">
        <f>'MK Bases Model (Base Case)'!$B$16*D73</f>
        <v>12788.862937661439</v>
      </c>
      <c r="I73" s="124">
        <f t="shared" si="20"/>
        <v>596.02532891884539</v>
      </c>
      <c r="J73" s="344">
        <f t="shared" si="21"/>
        <v>476.82026313507635</v>
      </c>
    </row>
    <row r="74" spans="1:10" ht="16">
      <c r="A74" s="164"/>
      <c r="B74" s="145" t="s">
        <v>370</v>
      </c>
      <c r="C74" s="145" t="s">
        <v>350</v>
      </c>
      <c r="D74" s="1381">
        <v>1</v>
      </c>
      <c r="E74" s="1382">
        <f t="shared" si="14"/>
        <v>1.2</v>
      </c>
      <c r="F74" s="346">
        <f t="shared" si="22"/>
        <v>1.2</v>
      </c>
      <c r="G74" s="346">
        <f t="shared" si="19"/>
        <v>0.36</v>
      </c>
      <c r="H74" s="368">
        <f>'MK Bases Model (Base Case)'!$B$16*D74</f>
        <v>12788.862937661439</v>
      </c>
      <c r="I74" s="124">
        <f t="shared" si="20"/>
        <v>486.65264320856056</v>
      </c>
      <c r="J74" s="344">
        <f t="shared" si="21"/>
        <v>583.9831718502727</v>
      </c>
    </row>
    <row r="75" spans="1:10" ht="16">
      <c r="A75" s="164"/>
      <c r="B75" s="145" t="s">
        <v>371</v>
      </c>
      <c r="C75" s="145" t="s">
        <v>350</v>
      </c>
      <c r="D75" s="1381">
        <v>2</v>
      </c>
      <c r="E75" s="1382">
        <f t="shared" si="14"/>
        <v>1</v>
      </c>
      <c r="F75" s="346">
        <f t="shared" si="22"/>
        <v>2</v>
      </c>
      <c r="G75" s="346">
        <f t="shared" si="19"/>
        <v>0.6</v>
      </c>
      <c r="H75" s="368">
        <f>'MK Bases Model (Base Case)'!$B$16*D75</f>
        <v>25577.725875322878</v>
      </c>
      <c r="I75" s="124">
        <f t="shared" si="20"/>
        <v>533.10126070968374</v>
      </c>
      <c r="J75" s="344">
        <f t="shared" si="21"/>
        <v>1066.2025214193675</v>
      </c>
    </row>
    <row r="76" spans="1:10" ht="16">
      <c r="A76" s="164"/>
      <c r="B76" s="145" t="s">
        <v>372</v>
      </c>
      <c r="C76" s="145" t="s">
        <v>350</v>
      </c>
      <c r="D76" s="1381">
        <v>2</v>
      </c>
      <c r="E76" s="1382">
        <f t="shared" si="14"/>
        <v>0.25</v>
      </c>
      <c r="F76" s="346">
        <f t="shared" si="22"/>
        <v>0.5</v>
      </c>
      <c r="G76" s="346">
        <f t="shared" si="19"/>
        <v>0.15</v>
      </c>
      <c r="H76" s="368">
        <f>'MK Bases Model (Base Case)'!$B$16*D76</f>
        <v>25577.725875322878</v>
      </c>
      <c r="I76" s="124">
        <f t="shared" si="20"/>
        <v>1066.2025214193675</v>
      </c>
      <c r="J76" s="344">
        <f t="shared" si="21"/>
        <v>533.10126070968374</v>
      </c>
    </row>
    <row r="77" spans="1:10" ht="16">
      <c r="A77" s="335" t="s">
        <v>373</v>
      </c>
      <c r="B77" s="336"/>
      <c r="C77" s="336"/>
      <c r="D77" s="336"/>
      <c r="E77" s="1899"/>
      <c r="F77" s="338">
        <f>SUM(F78)</f>
        <v>0.5</v>
      </c>
      <c r="G77" s="336"/>
      <c r="H77" s="339"/>
      <c r="I77" s="340"/>
      <c r="J77" s="341"/>
    </row>
    <row r="78" spans="1:10" ht="16">
      <c r="A78" s="347"/>
      <c r="B78" s="349" t="s">
        <v>374</v>
      </c>
      <c r="C78" s="349" t="s">
        <v>353</v>
      </c>
      <c r="D78" s="1383">
        <v>1</v>
      </c>
      <c r="E78" s="1382">
        <f t="shared" si="14"/>
        <v>0.5</v>
      </c>
      <c r="F78" s="350">
        <f>E78*D78</f>
        <v>0.5</v>
      </c>
      <c r="G78" s="350">
        <f>F78*0.3</f>
        <v>0.15</v>
      </c>
      <c r="H78" s="370">
        <f>'MK Bases Model (Base Case)'!$B$16*D78</f>
        <v>12788.862937661439</v>
      </c>
      <c r="I78" s="351">
        <f>SQRT((2*H78*F78))/G78</f>
        <v>753.91903301383002</v>
      </c>
      <c r="J78" s="352">
        <f>I78*F78</f>
        <v>376.95951650691501</v>
      </c>
    </row>
    <row r="79" spans="1:10" ht="16">
      <c r="A79" s="353" t="s">
        <v>375</v>
      </c>
      <c r="B79" s="354"/>
      <c r="C79" s="354"/>
      <c r="D79" s="355">
        <f t="shared" ref="D79:E79" si="23">SUM(D58:D78)</f>
        <v>27</v>
      </c>
      <c r="E79" s="356">
        <f t="shared" si="23"/>
        <v>41.570000000000007</v>
      </c>
      <c r="F79" s="356">
        <f>SUM(F57,F59,F63,F77)*(1-O31)</f>
        <v>46.084700000000005</v>
      </c>
      <c r="G79" s="356">
        <f>SUM(G58:G78)</f>
        <v>14.253</v>
      </c>
      <c r="H79" s="357">
        <f>'MK Bases Model (Base Case)'!B16</f>
        <v>12788.862937661439</v>
      </c>
      <c r="I79" s="358">
        <f t="shared" ref="I79:J79" si="24">SUM(I58:I78)</f>
        <v>11892.942364869346</v>
      </c>
      <c r="J79" s="359">
        <f t="shared" si="24"/>
        <v>15314.870803771235</v>
      </c>
    </row>
    <row r="80" spans="1:10" ht="16">
      <c r="A80" s="23"/>
      <c r="B80" s="23"/>
      <c r="C80" s="23"/>
      <c r="D80" s="23"/>
      <c r="E80" s="23"/>
      <c r="F80" s="238" t="s">
        <v>378</v>
      </c>
      <c r="G80" s="23"/>
      <c r="H80" s="23"/>
      <c r="I80" s="23"/>
      <c r="J80" s="23"/>
    </row>
    <row r="81" spans="1:10" ht="13">
      <c r="A81" s="7"/>
      <c r="B81" s="7"/>
      <c r="C81" s="7"/>
      <c r="D81" s="7"/>
      <c r="E81" s="7"/>
      <c r="F81" s="7"/>
      <c r="G81" s="7"/>
      <c r="H81" s="7"/>
      <c r="I81" s="7"/>
      <c r="J81" s="7"/>
    </row>
    <row r="82" spans="1:10" ht="25">
      <c r="A82" s="2020" t="s">
        <v>379</v>
      </c>
      <c r="B82" s="2012"/>
      <c r="C82" s="2012"/>
      <c r="D82" s="2012"/>
      <c r="E82" s="2012"/>
      <c r="F82" s="2012"/>
      <c r="G82" s="2012"/>
      <c r="H82" s="2012"/>
      <c r="I82" s="2012"/>
      <c r="J82" s="1999"/>
    </row>
    <row r="83" spans="1:10" ht="34">
      <c r="A83" s="323"/>
      <c r="B83" s="324"/>
      <c r="C83" s="1007" t="s">
        <v>338</v>
      </c>
      <c r="D83" s="1007" t="s">
        <v>339</v>
      </c>
      <c r="E83" s="1007" t="s">
        <v>340</v>
      </c>
      <c r="F83" s="1007" t="s">
        <v>341</v>
      </c>
      <c r="G83" s="1007" t="s">
        <v>342</v>
      </c>
      <c r="H83" s="1007" t="s">
        <v>377</v>
      </c>
      <c r="I83" s="1007" t="s">
        <v>344</v>
      </c>
      <c r="J83" s="1008" t="s">
        <v>345</v>
      </c>
    </row>
    <row r="84" spans="1:10" ht="16">
      <c r="A84" s="325" t="s">
        <v>349</v>
      </c>
      <c r="B84" s="326"/>
      <c r="C84" s="326"/>
      <c r="D84" s="326"/>
      <c r="E84" s="327"/>
      <c r="F84" s="328">
        <f>SUM(F85)</f>
        <v>19.93</v>
      </c>
      <c r="G84" s="326"/>
      <c r="H84" s="326"/>
      <c r="I84" s="326"/>
      <c r="J84" s="329"/>
    </row>
    <row r="85" spans="1:10" ht="16">
      <c r="A85" s="164"/>
      <c r="B85" s="28" t="s">
        <v>349</v>
      </c>
      <c r="C85" s="31" t="s">
        <v>380</v>
      </c>
      <c r="D85" s="1385">
        <v>1</v>
      </c>
      <c r="E85" s="1386">
        <f>E31</f>
        <v>19.93</v>
      </c>
      <c r="F85" s="343">
        <f>E85*D85</f>
        <v>19.93</v>
      </c>
      <c r="G85" s="343">
        <f>F85*0.3</f>
        <v>5.9790000000000001</v>
      </c>
      <c r="H85" s="332">
        <f>'MK Bases Model (Base Case)'!$C$16*D85</f>
        <v>18290.759828011393</v>
      </c>
      <c r="I85" s="124">
        <f>SQRT((2*H85*F85))/G85</f>
        <v>142.80912800031007</v>
      </c>
      <c r="J85" s="363">
        <f>I85*F85</f>
        <v>2846.1859210461798</v>
      </c>
    </row>
    <row r="86" spans="1:10" ht="16">
      <c r="A86" s="335" t="s">
        <v>351</v>
      </c>
      <c r="B86" s="336"/>
      <c r="C86" s="336"/>
      <c r="D86" s="336"/>
      <c r="E86" s="1537"/>
      <c r="F86" s="338">
        <f>SUM(F87:F89)</f>
        <v>7.79</v>
      </c>
      <c r="G86" s="336"/>
      <c r="H86" s="339"/>
      <c r="I86" s="336"/>
      <c r="J86" s="364"/>
    </row>
    <row r="87" spans="1:10" ht="16">
      <c r="A87" s="164"/>
      <c r="B87" s="28" t="s">
        <v>352</v>
      </c>
      <c r="C87" s="31" t="s">
        <v>353</v>
      </c>
      <c r="D87" s="1385">
        <v>1</v>
      </c>
      <c r="E87" s="1386">
        <f t="shared" ref="E87:E105" si="25">E33</f>
        <v>3</v>
      </c>
      <c r="F87" s="343">
        <f>E87*D87</f>
        <v>3</v>
      </c>
      <c r="G87" s="343">
        <f t="shared" ref="G87:G89" si="26">F87*0.3</f>
        <v>0.89999999999999991</v>
      </c>
      <c r="H87" s="332">
        <f>'MK Bases Model (Base Case)'!$C$16*D87</f>
        <v>18290.759828011393</v>
      </c>
      <c r="I87" s="124">
        <f t="shared" ref="I87:I89" si="27">SQRT((2*H87*F87))/G87</f>
        <v>368.08573707374404</v>
      </c>
      <c r="J87" s="363">
        <f t="shared" ref="J87:J89" si="28">I87*F87</f>
        <v>1104.2572112212322</v>
      </c>
    </row>
    <row r="88" spans="1:10" ht="16">
      <c r="A88" s="164"/>
      <c r="B88" s="28" t="s">
        <v>354</v>
      </c>
      <c r="C88" s="31" t="s">
        <v>353</v>
      </c>
      <c r="D88" s="1385">
        <v>1</v>
      </c>
      <c r="E88" s="1386">
        <f t="shared" si="25"/>
        <v>3.99</v>
      </c>
      <c r="F88" s="346">
        <f t="shared" ref="F88:F89" si="29">E88*D88</f>
        <v>3.99</v>
      </c>
      <c r="G88" s="343">
        <f t="shared" si="26"/>
        <v>1.1970000000000001</v>
      </c>
      <c r="H88" s="332">
        <f>'MK Bases Model (Base Case)'!$C$16*D88</f>
        <v>18290.759828011393</v>
      </c>
      <c r="I88" s="124">
        <f t="shared" si="27"/>
        <v>319.17081225627743</v>
      </c>
      <c r="J88" s="363">
        <f t="shared" si="28"/>
        <v>1273.4915409025471</v>
      </c>
    </row>
    <row r="89" spans="1:10" ht="16">
      <c r="A89" s="164"/>
      <c r="B89" s="28" t="s">
        <v>355</v>
      </c>
      <c r="C89" s="31" t="s">
        <v>353</v>
      </c>
      <c r="D89" s="1385">
        <v>1</v>
      </c>
      <c r="E89" s="1386">
        <f t="shared" si="25"/>
        <v>0.8</v>
      </c>
      <c r="F89" s="346">
        <f t="shared" si="29"/>
        <v>0.8</v>
      </c>
      <c r="G89" s="343">
        <f t="shared" si="26"/>
        <v>0.24</v>
      </c>
      <c r="H89" s="332">
        <f>'MK Bases Model (Base Case)'!$C$16*D89</f>
        <v>18290.759828011393</v>
      </c>
      <c r="I89" s="124">
        <f t="shared" si="27"/>
        <v>712.79496483154639</v>
      </c>
      <c r="J89" s="363">
        <f t="shared" si="28"/>
        <v>570.23597186523716</v>
      </c>
    </row>
    <row r="90" spans="1:10" ht="16">
      <c r="A90" s="335" t="s">
        <v>356</v>
      </c>
      <c r="B90" s="336"/>
      <c r="C90" s="336"/>
      <c r="D90" s="336"/>
      <c r="E90" s="1537"/>
      <c r="F90" s="338">
        <f>SUM(F91:F103)</f>
        <v>19.290000000000003</v>
      </c>
      <c r="G90" s="336"/>
      <c r="H90" s="339"/>
      <c r="I90" s="336"/>
      <c r="J90" s="365"/>
    </row>
    <row r="91" spans="1:10" ht="16">
      <c r="A91" s="164"/>
      <c r="B91" s="28" t="s">
        <v>358</v>
      </c>
      <c r="C91" s="31" t="s">
        <v>350</v>
      </c>
      <c r="D91" s="1385">
        <v>1</v>
      </c>
      <c r="E91" s="1386">
        <f t="shared" si="25"/>
        <v>2.5</v>
      </c>
      <c r="F91" s="343">
        <f>E91*D91</f>
        <v>2.5</v>
      </c>
      <c r="G91" s="343">
        <f t="shared" ref="G91:G103" si="30">F91*0.3</f>
        <v>0.75</v>
      </c>
      <c r="H91" s="332">
        <f>'MK Bases Model (Base Case)'!$C$16*D91</f>
        <v>18290.759828011393</v>
      </c>
      <c r="I91" s="124">
        <f t="shared" ref="I91:I103" si="31">SQRT((2*H91*F91))/G91</f>
        <v>403.21772258241043</v>
      </c>
      <c r="J91" s="363">
        <f t="shared" ref="J91:J103" si="32">I91*F91</f>
        <v>1008.0443064560261</v>
      </c>
    </row>
    <row r="92" spans="1:10" ht="16">
      <c r="A92" s="164"/>
      <c r="B92" s="28" t="s">
        <v>360</v>
      </c>
      <c r="C92" s="31" t="s">
        <v>353</v>
      </c>
      <c r="D92" s="1385">
        <v>2</v>
      </c>
      <c r="E92" s="1386">
        <f t="shared" si="25"/>
        <v>0.05</v>
      </c>
      <c r="F92" s="346">
        <f t="shared" ref="F92:F103" si="33">E92*D92</f>
        <v>0.1</v>
      </c>
      <c r="G92" s="343">
        <f t="shared" si="30"/>
        <v>0.03</v>
      </c>
      <c r="H92" s="332">
        <f>'MK Bases Model (Base Case)'!$C$16*D92</f>
        <v>36581.519656022785</v>
      </c>
      <c r="I92" s="124">
        <f t="shared" si="31"/>
        <v>2851.1798593261856</v>
      </c>
      <c r="J92" s="363">
        <f t="shared" si="32"/>
        <v>285.11798593261858</v>
      </c>
    </row>
    <row r="93" spans="1:10" ht="16">
      <c r="A93" s="164"/>
      <c r="B93" s="28" t="s">
        <v>362</v>
      </c>
      <c r="C93" s="31" t="s">
        <v>353</v>
      </c>
      <c r="D93" s="1385">
        <v>1</v>
      </c>
      <c r="E93" s="1386">
        <f t="shared" si="25"/>
        <v>3.18</v>
      </c>
      <c r="F93" s="346">
        <f t="shared" si="33"/>
        <v>3.18</v>
      </c>
      <c r="G93" s="343">
        <f t="shared" si="30"/>
        <v>0.95399999999999996</v>
      </c>
      <c r="H93" s="332">
        <f>'MK Bases Model (Base Case)'!$C$16*D93</f>
        <v>18290.759828011393</v>
      </c>
      <c r="I93" s="124">
        <f t="shared" si="31"/>
        <v>357.51647255508067</v>
      </c>
      <c r="J93" s="363">
        <f t="shared" si="32"/>
        <v>1136.9023827251565</v>
      </c>
    </row>
    <row r="94" spans="1:10" ht="16">
      <c r="A94" s="164"/>
      <c r="B94" s="28" t="s">
        <v>363</v>
      </c>
      <c r="C94" s="31" t="s">
        <v>350</v>
      </c>
      <c r="D94" s="1385">
        <v>1</v>
      </c>
      <c r="E94" s="1386">
        <f t="shared" si="25"/>
        <v>0.28000000000000003</v>
      </c>
      <c r="F94" s="346">
        <f t="shared" si="33"/>
        <v>0.28000000000000003</v>
      </c>
      <c r="G94" s="343">
        <f t="shared" si="30"/>
        <v>8.4000000000000005E-2</v>
      </c>
      <c r="H94" s="332">
        <f>'MK Bases Model (Base Case)'!$C$16*D94</f>
        <v>18290.759828011393</v>
      </c>
      <c r="I94" s="124">
        <f t="shared" si="31"/>
        <v>1204.8433945528893</v>
      </c>
      <c r="J94" s="363">
        <f t="shared" si="32"/>
        <v>337.35615047480906</v>
      </c>
    </row>
    <row r="95" spans="1:10" ht="16">
      <c r="A95" s="164"/>
      <c r="B95" s="28" t="s">
        <v>364</v>
      </c>
      <c r="C95" s="31" t="s">
        <v>353</v>
      </c>
      <c r="D95" s="1385">
        <v>1</v>
      </c>
      <c r="E95" s="1386">
        <f t="shared" si="25"/>
        <v>0.45</v>
      </c>
      <c r="F95" s="346">
        <f t="shared" si="33"/>
        <v>0.45</v>
      </c>
      <c r="G95" s="343">
        <f t="shared" si="30"/>
        <v>0.13500000000000001</v>
      </c>
      <c r="H95" s="332">
        <f>'MK Bases Model (Base Case)'!$C$16*D95</f>
        <v>18290.759828011393</v>
      </c>
      <c r="I95" s="124">
        <f t="shared" si="31"/>
        <v>950.39328644206171</v>
      </c>
      <c r="J95" s="363">
        <f t="shared" si="32"/>
        <v>427.67697889892776</v>
      </c>
    </row>
    <row r="96" spans="1:10" ht="16">
      <c r="A96" s="164"/>
      <c r="B96" s="28" t="s">
        <v>365</v>
      </c>
      <c r="C96" s="31" t="s">
        <v>350</v>
      </c>
      <c r="D96" s="1385">
        <v>2</v>
      </c>
      <c r="E96" s="1386">
        <f t="shared" si="25"/>
        <v>0.99</v>
      </c>
      <c r="F96" s="346">
        <f t="shared" si="33"/>
        <v>1.98</v>
      </c>
      <c r="G96" s="343">
        <f t="shared" si="30"/>
        <v>0.59399999999999997</v>
      </c>
      <c r="H96" s="332">
        <f>'MK Bases Model (Base Case)'!$C$16*D96</f>
        <v>36581.519656022785</v>
      </c>
      <c r="I96" s="124">
        <f t="shared" si="31"/>
        <v>640.75502300522669</v>
      </c>
      <c r="J96" s="363">
        <f t="shared" si="32"/>
        <v>1268.6949455503488</v>
      </c>
    </row>
    <row r="97" spans="1:10" ht="16">
      <c r="A97" s="164"/>
      <c r="B97" s="28" t="s">
        <v>366</v>
      </c>
      <c r="C97" s="31" t="s">
        <v>350</v>
      </c>
      <c r="D97" s="1385">
        <v>2</v>
      </c>
      <c r="E97" s="1386">
        <f t="shared" si="25"/>
        <v>1.35</v>
      </c>
      <c r="F97" s="346">
        <f t="shared" si="33"/>
        <v>2.7</v>
      </c>
      <c r="G97" s="343">
        <f t="shared" si="30"/>
        <v>0.81</v>
      </c>
      <c r="H97" s="332">
        <f>'MK Bases Model (Base Case)'!$C$16*D97</f>
        <v>36581.519656022785</v>
      </c>
      <c r="I97" s="124">
        <f t="shared" si="31"/>
        <v>548.70981976333746</v>
      </c>
      <c r="J97" s="363">
        <f t="shared" si="32"/>
        <v>1481.5165133610112</v>
      </c>
    </row>
    <row r="98" spans="1:10" ht="16">
      <c r="A98" s="164"/>
      <c r="B98" s="28" t="s">
        <v>367</v>
      </c>
      <c r="C98" s="31" t="s">
        <v>353</v>
      </c>
      <c r="D98" s="1385">
        <v>4</v>
      </c>
      <c r="E98" s="1386">
        <f t="shared" si="25"/>
        <v>0.5</v>
      </c>
      <c r="F98" s="346">
        <f t="shared" si="33"/>
        <v>2</v>
      </c>
      <c r="G98" s="346">
        <f t="shared" si="30"/>
        <v>0.6</v>
      </c>
      <c r="H98" s="332">
        <f>'MK Bases Model (Base Case)'!$C$16*D98</f>
        <v>73163.03931204557</v>
      </c>
      <c r="I98" s="124">
        <f t="shared" si="31"/>
        <v>901.62223742692186</v>
      </c>
      <c r="J98" s="363">
        <f t="shared" si="32"/>
        <v>1803.2444748538437</v>
      </c>
    </row>
    <row r="99" spans="1:10" ht="16">
      <c r="A99" s="164"/>
      <c r="B99" s="28" t="s">
        <v>368</v>
      </c>
      <c r="C99" s="31" t="s">
        <v>353</v>
      </c>
      <c r="D99" s="1385">
        <v>2</v>
      </c>
      <c r="E99" s="1386">
        <f t="shared" si="25"/>
        <v>0.8</v>
      </c>
      <c r="F99" s="346">
        <f t="shared" si="33"/>
        <v>1.6</v>
      </c>
      <c r="G99" s="343">
        <f t="shared" si="30"/>
        <v>0.48</v>
      </c>
      <c r="H99" s="332">
        <f>'MK Bases Model (Base Case)'!$C$16*D99</f>
        <v>36581.519656022785</v>
      </c>
      <c r="I99" s="124">
        <f t="shared" si="31"/>
        <v>712.79496483154639</v>
      </c>
      <c r="J99" s="363">
        <f t="shared" si="32"/>
        <v>1140.4719437304743</v>
      </c>
    </row>
    <row r="100" spans="1:10" ht="16">
      <c r="A100" s="164"/>
      <c r="B100" s="28" t="s">
        <v>369</v>
      </c>
      <c r="C100" s="31" t="s">
        <v>353</v>
      </c>
      <c r="D100" s="1385">
        <v>1</v>
      </c>
      <c r="E100" s="1386">
        <f t="shared" si="25"/>
        <v>0.8</v>
      </c>
      <c r="F100" s="346">
        <f t="shared" si="33"/>
        <v>0.8</v>
      </c>
      <c r="G100" s="343">
        <f t="shared" si="30"/>
        <v>0.24</v>
      </c>
      <c r="H100" s="332">
        <f>'MK Bases Model (Base Case)'!$C$16*D100</f>
        <v>18290.759828011393</v>
      </c>
      <c r="I100" s="124">
        <f t="shared" si="31"/>
        <v>712.79496483154639</v>
      </c>
      <c r="J100" s="363">
        <f t="shared" si="32"/>
        <v>570.23597186523716</v>
      </c>
    </row>
    <row r="101" spans="1:10" ht="16">
      <c r="A101" s="164"/>
      <c r="B101" s="28" t="s">
        <v>370</v>
      </c>
      <c r="C101" s="31" t="s">
        <v>350</v>
      </c>
      <c r="D101" s="1385">
        <v>1</v>
      </c>
      <c r="E101" s="1386">
        <f t="shared" si="25"/>
        <v>1.2</v>
      </c>
      <c r="F101" s="346">
        <f t="shared" si="33"/>
        <v>1.2</v>
      </c>
      <c r="G101" s="343">
        <f t="shared" si="30"/>
        <v>0.36</v>
      </c>
      <c r="H101" s="332">
        <f>'MK Bases Model (Base Case)'!$C$16*D101</f>
        <v>18290.759828011393</v>
      </c>
      <c r="I101" s="124">
        <f t="shared" si="31"/>
        <v>581.99465168745633</v>
      </c>
      <c r="J101" s="363">
        <f t="shared" si="32"/>
        <v>698.39358202494759</v>
      </c>
    </row>
    <row r="102" spans="1:10" ht="16">
      <c r="A102" s="164"/>
      <c r="B102" s="28" t="s">
        <v>371</v>
      </c>
      <c r="C102" s="31" t="s">
        <v>350</v>
      </c>
      <c r="D102" s="1385">
        <v>2</v>
      </c>
      <c r="E102" s="1386">
        <f t="shared" si="25"/>
        <v>1</v>
      </c>
      <c r="F102" s="346">
        <f t="shared" si="33"/>
        <v>2</v>
      </c>
      <c r="G102" s="343">
        <f t="shared" si="30"/>
        <v>0.6</v>
      </c>
      <c r="H102" s="332">
        <f>'MK Bases Model (Base Case)'!$C$16*D102</f>
        <v>36581.519656022785</v>
      </c>
      <c r="I102" s="124">
        <f t="shared" si="31"/>
        <v>637.54319815316387</v>
      </c>
      <c r="J102" s="363">
        <f t="shared" si="32"/>
        <v>1275.0863963063277</v>
      </c>
    </row>
    <row r="103" spans="1:10" ht="16">
      <c r="A103" s="164"/>
      <c r="B103" s="28" t="s">
        <v>372</v>
      </c>
      <c r="C103" s="31" t="s">
        <v>350</v>
      </c>
      <c r="D103" s="1385">
        <v>2</v>
      </c>
      <c r="E103" s="1386">
        <f t="shared" si="25"/>
        <v>0.25</v>
      </c>
      <c r="F103" s="346">
        <f t="shared" si="33"/>
        <v>0.5</v>
      </c>
      <c r="G103" s="343">
        <f t="shared" si="30"/>
        <v>0.15</v>
      </c>
      <c r="H103" s="332">
        <f>'MK Bases Model (Base Case)'!$C$16*D103</f>
        <v>36581.519656022785</v>
      </c>
      <c r="I103" s="124">
        <f t="shared" si="31"/>
        <v>1275.0863963063277</v>
      </c>
      <c r="J103" s="363">
        <f t="shared" si="32"/>
        <v>637.54319815316387</v>
      </c>
    </row>
    <row r="104" spans="1:10" ht="16">
      <c r="A104" s="335" t="s">
        <v>373</v>
      </c>
      <c r="B104" s="336"/>
      <c r="C104" s="336"/>
      <c r="D104" s="336"/>
      <c r="E104" s="1537"/>
      <c r="F104" s="338">
        <f>SUM(F105)</f>
        <v>0.5</v>
      </c>
      <c r="G104" s="336"/>
      <c r="H104" s="339"/>
      <c r="I104" s="336"/>
      <c r="J104" s="364"/>
    </row>
    <row r="105" spans="1:10" ht="16">
      <c r="A105" s="347"/>
      <c r="B105" s="348" t="s">
        <v>374</v>
      </c>
      <c r="C105" s="349" t="s">
        <v>353</v>
      </c>
      <c r="D105" s="1387">
        <v>1</v>
      </c>
      <c r="E105" s="1386">
        <f t="shared" si="25"/>
        <v>0.5</v>
      </c>
      <c r="F105" s="350">
        <f>E105*D105</f>
        <v>0.5</v>
      </c>
      <c r="G105" s="350">
        <f>F105*0.3</f>
        <v>0.15</v>
      </c>
      <c r="H105" s="362">
        <f>'MK Bases Model (Base Case)'!$C$16*D105</f>
        <v>18290.759828011393</v>
      </c>
      <c r="I105" s="351">
        <f>SQRT((2*H105*F105))/G105</f>
        <v>901.62223742692186</v>
      </c>
      <c r="J105" s="366">
        <f>I105*F105</f>
        <v>450.81111871346093</v>
      </c>
    </row>
    <row r="106" spans="1:10" ht="16">
      <c r="A106" s="367" t="s">
        <v>381</v>
      </c>
      <c r="B106" s="354"/>
      <c r="C106" s="354"/>
      <c r="D106" s="355">
        <f t="shared" ref="D106:E106" si="34">SUM(D85:D105)</f>
        <v>27</v>
      </c>
      <c r="E106" s="356">
        <f t="shared" si="34"/>
        <v>41.570000000000007</v>
      </c>
      <c r="F106" s="356">
        <f>SUM(F84,F86,F90,F104)*(1-O32)</f>
        <v>46.084700000000005</v>
      </c>
      <c r="G106" s="356">
        <f>SUM(G85:G105)</f>
        <v>14.253</v>
      </c>
      <c r="H106" s="357">
        <f>'MK Bases Model (Base Case)'!$C$16</f>
        <v>18290.759828011393</v>
      </c>
      <c r="I106" s="358">
        <f>SUM(I84:I105)</f>
        <v>14222.934871052954</v>
      </c>
      <c r="J106" s="359">
        <f>SUM(J85:J105)</f>
        <v>18315.26659408155</v>
      </c>
    </row>
    <row r="107" spans="1:10" ht="16">
      <c r="A107" s="3"/>
      <c r="B107" s="3"/>
      <c r="C107" s="3"/>
      <c r="D107" s="3"/>
      <c r="E107" s="3"/>
      <c r="F107" s="238" t="s">
        <v>378</v>
      </c>
      <c r="G107" s="3"/>
      <c r="H107" s="3"/>
      <c r="I107" s="3"/>
      <c r="J107" s="3"/>
    </row>
    <row r="109" spans="1:10" ht="25">
      <c r="A109" s="2020" t="s">
        <v>382</v>
      </c>
      <c r="B109" s="2012"/>
      <c r="C109" s="2012"/>
      <c r="D109" s="2012"/>
      <c r="E109" s="2012"/>
      <c r="F109" s="2012"/>
      <c r="G109" s="2012"/>
      <c r="H109" s="2012"/>
      <c r="I109" s="2012"/>
      <c r="J109" s="1999"/>
    </row>
    <row r="110" spans="1:10" ht="34">
      <c r="A110" s="323"/>
      <c r="B110" s="324"/>
      <c r="C110" s="1007" t="s">
        <v>338</v>
      </c>
      <c r="D110" s="1007" t="s">
        <v>339</v>
      </c>
      <c r="E110" s="1007" t="s">
        <v>340</v>
      </c>
      <c r="F110" s="1007" t="s">
        <v>341</v>
      </c>
      <c r="G110" s="1007" t="s">
        <v>342</v>
      </c>
      <c r="H110" s="1007" t="s">
        <v>377</v>
      </c>
      <c r="I110" s="1007" t="s">
        <v>344</v>
      </c>
      <c r="J110" s="1008" t="s">
        <v>345</v>
      </c>
    </row>
    <row r="111" spans="1:10" ht="16">
      <c r="A111" s="325" t="s">
        <v>349</v>
      </c>
      <c r="B111" s="326"/>
      <c r="C111" s="326"/>
      <c r="D111" s="326"/>
      <c r="E111" s="327"/>
      <c r="F111" s="328">
        <f>SUM(F112)</f>
        <v>19.93</v>
      </c>
      <c r="G111" s="326"/>
      <c r="H111" s="326"/>
      <c r="I111" s="326"/>
      <c r="J111" s="329"/>
    </row>
    <row r="112" spans="1:10" ht="16">
      <c r="A112" s="164"/>
      <c r="B112" s="28" t="s">
        <v>349</v>
      </c>
      <c r="C112" s="28" t="s">
        <v>380</v>
      </c>
      <c r="D112" s="1385">
        <v>1</v>
      </c>
      <c r="E112" s="1386">
        <f>E31</f>
        <v>19.93</v>
      </c>
      <c r="F112" s="343">
        <f>E112*D112</f>
        <v>19.93</v>
      </c>
      <c r="G112" s="343">
        <f>F112*0.3</f>
        <v>5.9790000000000001</v>
      </c>
      <c r="H112" s="368">
        <f>'MK Bases Model (Base Case)'!$D$16*D112</f>
        <v>44086.151570867165</v>
      </c>
      <c r="I112" s="124">
        <f>SQRT((2*H112*F112))/G112</f>
        <v>221.7130153387848</v>
      </c>
      <c r="J112" s="363">
        <f>I112*F112</f>
        <v>4418.7403957019806</v>
      </c>
    </row>
    <row r="113" spans="1:10" ht="16">
      <c r="A113" s="369" t="s">
        <v>351</v>
      </c>
      <c r="B113" s="336"/>
      <c r="C113" s="336"/>
      <c r="D113" s="336"/>
      <c r="E113" s="1537"/>
      <c r="F113" s="338">
        <f>SUM(F114:F116)</f>
        <v>7.79</v>
      </c>
      <c r="G113" s="336"/>
      <c r="H113" s="336"/>
      <c r="I113" s="336"/>
      <c r="J113" s="364"/>
    </row>
    <row r="114" spans="1:10" ht="16">
      <c r="A114" s="164"/>
      <c r="B114" s="28" t="s">
        <v>352</v>
      </c>
      <c r="C114" s="28" t="s">
        <v>353</v>
      </c>
      <c r="D114" s="1385">
        <v>1</v>
      </c>
      <c r="E114" s="1386">
        <f t="shared" ref="E114:E132" si="35">E33</f>
        <v>3</v>
      </c>
      <c r="F114" s="343">
        <f>E114*D114</f>
        <v>3</v>
      </c>
      <c r="G114" s="343">
        <f t="shared" ref="G114:G116" si="36">F114*0.3</f>
        <v>0.89999999999999991</v>
      </c>
      <c r="H114" s="368">
        <f>'MK Bases Model (Base Case)'!$D$16*D114</f>
        <v>44086.151570867165</v>
      </c>
      <c r="I114" s="124">
        <f t="shared" ref="I114:I116" si="37">SQRT((2*H114*F114))/G114</f>
        <v>571.45785996005623</v>
      </c>
      <c r="J114" s="363">
        <f t="shared" ref="J114:J116" si="38">I114*F114</f>
        <v>1714.3735798801686</v>
      </c>
    </row>
    <row r="115" spans="1:10" ht="16">
      <c r="A115" s="164"/>
      <c r="B115" s="28" t="s">
        <v>354</v>
      </c>
      <c r="C115" s="28" t="s">
        <v>353</v>
      </c>
      <c r="D115" s="1385">
        <v>1</v>
      </c>
      <c r="E115" s="1386">
        <f t="shared" si="35"/>
        <v>3.99</v>
      </c>
      <c r="F115" s="346">
        <f t="shared" ref="F115:F116" si="39">E115*D115</f>
        <v>3.99</v>
      </c>
      <c r="G115" s="343">
        <f t="shared" si="36"/>
        <v>1.1970000000000001</v>
      </c>
      <c r="H115" s="368">
        <f>'MK Bases Model (Base Case)'!$D$16*D115</f>
        <v>44086.151570867165</v>
      </c>
      <c r="I115" s="124">
        <f t="shared" si="37"/>
        <v>495.51680753428303</v>
      </c>
      <c r="J115" s="363">
        <f t="shared" si="38"/>
        <v>1977.1120620617894</v>
      </c>
    </row>
    <row r="116" spans="1:10" ht="16">
      <c r="A116" s="164"/>
      <c r="B116" s="28" t="s">
        <v>355</v>
      </c>
      <c r="C116" s="28" t="s">
        <v>353</v>
      </c>
      <c r="D116" s="1385">
        <v>1</v>
      </c>
      <c r="E116" s="1386">
        <f t="shared" si="35"/>
        <v>0.8</v>
      </c>
      <c r="F116" s="346">
        <f t="shared" si="39"/>
        <v>0.8</v>
      </c>
      <c r="G116" s="343">
        <f t="shared" si="36"/>
        <v>0.24</v>
      </c>
      <c r="H116" s="368">
        <f>'MK Bases Model (Base Case)'!$D$16*D116</f>
        <v>44086.151570867165</v>
      </c>
      <c r="I116" s="124">
        <f t="shared" si="37"/>
        <v>1106.6233873423139</v>
      </c>
      <c r="J116" s="363">
        <f t="shared" si="38"/>
        <v>885.29870987385118</v>
      </c>
    </row>
    <row r="117" spans="1:10" ht="16">
      <c r="A117" s="1009" t="s">
        <v>356</v>
      </c>
      <c r="B117" s="1010"/>
      <c r="C117" s="1010"/>
      <c r="D117" s="1010"/>
      <c r="E117" s="1537"/>
      <c r="F117" s="1011">
        <f>SUM(F118:F130)</f>
        <v>19.290000000000003</v>
      </c>
      <c r="G117" s="1010"/>
      <c r="H117" s="1010"/>
      <c r="I117" s="1010"/>
      <c r="J117" s="1012"/>
    </row>
    <row r="118" spans="1:10" ht="16">
      <c r="A118" s="164"/>
      <c r="B118" s="28" t="s">
        <v>358</v>
      </c>
      <c r="C118" s="28" t="s">
        <v>350</v>
      </c>
      <c r="D118" s="1385">
        <v>1</v>
      </c>
      <c r="E118" s="1386">
        <f t="shared" si="35"/>
        <v>2.5</v>
      </c>
      <c r="F118" s="343">
        <f>E118*D118</f>
        <v>2.5</v>
      </c>
      <c r="G118" s="343">
        <f t="shared" ref="G118:G130" si="40">F118*0.3</f>
        <v>0.75</v>
      </c>
      <c r="H118" s="368">
        <f>'MK Bases Model (Base Case)'!$D$16*D118</f>
        <v>44086.151570867165</v>
      </c>
      <c r="I118" s="124">
        <f t="shared" ref="I118:I130" si="41">SQRT((2*H118*F118))/G118</f>
        <v>626.00072112750206</v>
      </c>
      <c r="J118" s="363">
        <f t="shared" ref="J118:J130" si="42">I118*F118</f>
        <v>1565.0018028187551</v>
      </c>
    </row>
    <row r="119" spans="1:10" ht="16">
      <c r="A119" s="164"/>
      <c r="B119" s="28" t="s">
        <v>360</v>
      </c>
      <c r="C119" s="28" t="s">
        <v>353</v>
      </c>
      <c r="D119" s="1385">
        <v>2</v>
      </c>
      <c r="E119" s="1386">
        <f t="shared" si="35"/>
        <v>0.05</v>
      </c>
      <c r="F119" s="346">
        <f t="shared" ref="F119:F130" si="43">E119*D119</f>
        <v>0.1</v>
      </c>
      <c r="G119" s="343">
        <f t="shared" si="40"/>
        <v>0.03</v>
      </c>
      <c r="H119" s="368">
        <f>'MK Bases Model (Base Case)'!$D$16*D119</f>
        <v>88172.30314173433</v>
      </c>
      <c r="I119" s="124">
        <f t="shared" si="41"/>
        <v>4426.4935493692556</v>
      </c>
      <c r="J119" s="363">
        <f t="shared" si="42"/>
        <v>442.64935493692559</v>
      </c>
    </row>
    <row r="120" spans="1:10" ht="16">
      <c r="A120" s="164"/>
      <c r="B120" s="28" t="s">
        <v>362</v>
      </c>
      <c r="C120" s="28" t="s">
        <v>353</v>
      </c>
      <c r="D120" s="1385">
        <v>1</v>
      </c>
      <c r="E120" s="1386">
        <f t="shared" si="35"/>
        <v>3.18</v>
      </c>
      <c r="F120" s="346">
        <f t="shared" si="43"/>
        <v>3.18</v>
      </c>
      <c r="G120" s="343">
        <f t="shared" si="40"/>
        <v>0.95399999999999996</v>
      </c>
      <c r="H120" s="368">
        <f>'MK Bases Model (Base Case)'!$D$16*D120</f>
        <v>44086.151570867165</v>
      </c>
      <c r="I120" s="124">
        <f t="shared" si="41"/>
        <v>555.04894031213985</v>
      </c>
      <c r="J120" s="363">
        <f t="shared" si="42"/>
        <v>1765.0556301926049</v>
      </c>
    </row>
    <row r="121" spans="1:10" ht="16">
      <c r="A121" s="164"/>
      <c r="B121" s="28" t="s">
        <v>363</v>
      </c>
      <c r="C121" s="28" t="s">
        <v>350</v>
      </c>
      <c r="D121" s="1385">
        <v>1</v>
      </c>
      <c r="E121" s="1386">
        <f t="shared" si="35"/>
        <v>0.28000000000000003</v>
      </c>
      <c r="F121" s="346">
        <f t="shared" si="43"/>
        <v>0.28000000000000003</v>
      </c>
      <c r="G121" s="343">
        <f t="shared" si="40"/>
        <v>8.4000000000000005E-2</v>
      </c>
      <c r="H121" s="368">
        <f>'MK Bases Model (Base Case)'!$D$16*D121</f>
        <v>44086.151570867165</v>
      </c>
      <c r="I121" s="124">
        <f t="shared" si="41"/>
        <v>1870.5349283888795</v>
      </c>
      <c r="J121" s="363">
        <f t="shared" si="42"/>
        <v>523.74977994888627</v>
      </c>
    </row>
    <row r="122" spans="1:10" ht="16">
      <c r="A122" s="164"/>
      <c r="B122" s="28" t="s">
        <v>364</v>
      </c>
      <c r="C122" s="28" t="s">
        <v>353</v>
      </c>
      <c r="D122" s="1385">
        <v>1</v>
      </c>
      <c r="E122" s="1386">
        <f t="shared" si="35"/>
        <v>0.45</v>
      </c>
      <c r="F122" s="346">
        <f t="shared" si="43"/>
        <v>0.45</v>
      </c>
      <c r="G122" s="343">
        <f t="shared" si="40"/>
        <v>0.13500000000000001</v>
      </c>
      <c r="H122" s="368">
        <f>'MK Bases Model (Base Case)'!$D$16*D122</f>
        <v>44086.151570867165</v>
      </c>
      <c r="I122" s="124">
        <f t="shared" si="41"/>
        <v>1475.4978497897519</v>
      </c>
      <c r="J122" s="363">
        <f t="shared" si="42"/>
        <v>663.97403240538836</v>
      </c>
    </row>
    <row r="123" spans="1:10" ht="16">
      <c r="A123" s="164"/>
      <c r="B123" s="28" t="s">
        <v>365</v>
      </c>
      <c r="C123" s="28" t="s">
        <v>350</v>
      </c>
      <c r="D123" s="1385">
        <v>2</v>
      </c>
      <c r="E123" s="1386">
        <f t="shared" si="35"/>
        <v>0.99</v>
      </c>
      <c r="F123" s="346">
        <f t="shared" si="43"/>
        <v>1.98</v>
      </c>
      <c r="G123" s="343">
        <f t="shared" si="40"/>
        <v>0.59399999999999997</v>
      </c>
      <c r="H123" s="368">
        <f>'MK Bases Model (Base Case)'!$D$16*D123</f>
        <v>88172.30314173433</v>
      </c>
      <c r="I123" s="124">
        <f t="shared" si="41"/>
        <v>994.78044739306017</v>
      </c>
      <c r="J123" s="363">
        <f t="shared" si="42"/>
        <v>1969.665285838259</v>
      </c>
    </row>
    <row r="124" spans="1:10" ht="16">
      <c r="A124" s="164"/>
      <c r="B124" s="28" t="s">
        <v>366</v>
      </c>
      <c r="C124" s="28" t="s">
        <v>350</v>
      </c>
      <c r="D124" s="1385">
        <v>2</v>
      </c>
      <c r="E124" s="1386">
        <f t="shared" si="35"/>
        <v>1.35</v>
      </c>
      <c r="F124" s="346">
        <f t="shared" si="43"/>
        <v>2.7</v>
      </c>
      <c r="G124" s="343">
        <f t="shared" si="40"/>
        <v>0.81</v>
      </c>
      <c r="H124" s="368">
        <f>'MK Bases Model (Base Case)'!$D$16*D124</f>
        <v>88172.30314173433</v>
      </c>
      <c r="I124" s="124">
        <f t="shared" si="41"/>
        <v>851.87908076482711</v>
      </c>
      <c r="J124" s="363">
        <f t="shared" si="42"/>
        <v>2300.0735180650336</v>
      </c>
    </row>
    <row r="125" spans="1:10" ht="16">
      <c r="A125" s="164"/>
      <c r="B125" s="28" t="s">
        <v>367</v>
      </c>
      <c r="C125" s="28" t="s">
        <v>353</v>
      </c>
      <c r="D125" s="1385">
        <v>4</v>
      </c>
      <c r="E125" s="1386">
        <f t="shared" si="35"/>
        <v>0.5</v>
      </c>
      <c r="F125" s="346">
        <f t="shared" si="43"/>
        <v>2</v>
      </c>
      <c r="G125" s="346">
        <f t="shared" si="40"/>
        <v>0.6</v>
      </c>
      <c r="H125" s="368">
        <f>'MK Bases Model (Base Case)'!$D$16*D125</f>
        <v>176344.60628346866</v>
      </c>
      <c r="I125" s="124">
        <f t="shared" si="41"/>
        <v>1399.7801664049834</v>
      </c>
      <c r="J125" s="363">
        <f t="shared" si="42"/>
        <v>2799.5603328099669</v>
      </c>
    </row>
    <row r="126" spans="1:10" ht="16">
      <c r="A126" s="164"/>
      <c r="B126" s="28" t="s">
        <v>368</v>
      </c>
      <c r="C126" s="28" t="s">
        <v>353</v>
      </c>
      <c r="D126" s="1385">
        <v>2</v>
      </c>
      <c r="E126" s="1386">
        <f t="shared" si="35"/>
        <v>0.8</v>
      </c>
      <c r="F126" s="346">
        <f t="shared" si="43"/>
        <v>1.6</v>
      </c>
      <c r="G126" s="343">
        <f t="shared" si="40"/>
        <v>0.48</v>
      </c>
      <c r="H126" s="368">
        <f>'MK Bases Model (Base Case)'!$D$16*D126</f>
        <v>88172.30314173433</v>
      </c>
      <c r="I126" s="124">
        <f t="shared" si="41"/>
        <v>1106.6233873423139</v>
      </c>
      <c r="J126" s="363">
        <f t="shared" si="42"/>
        <v>1770.5974197477024</v>
      </c>
    </row>
    <row r="127" spans="1:10" ht="16">
      <c r="A127" s="164"/>
      <c r="B127" s="28" t="s">
        <v>369</v>
      </c>
      <c r="C127" s="28" t="s">
        <v>353</v>
      </c>
      <c r="D127" s="1385">
        <v>1</v>
      </c>
      <c r="E127" s="1386">
        <f t="shared" si="35"/>
        <v>0.8</v>
      </c>
      <c r="F127" s="346">
        <f t="shared" si="43"/>
        <v>0.8</v>
      </c>
      <c r="G127" s="343">
        <f t="shared" si="40"/>
        <v>0.24</v>
      </c>
      <c r="H127" s="368">
        <f>'MK Bases Model (Base Case)'!$D$16*D127</f>
        <v>44086.151570867165</v>
      </c>
      <c r="I127" s="124">
        <f t="shared" si="41"/>
        <v>1106.6233873423139</v>
      </c>
      <c r="J127" s="363">
        <f t="shared" si="42"/>
        <v>885.29870987385118</v>
      </c>
    </row>
    <row r="128" spans="1:10" ht="16">
      <c r="A128" s="164"/>
      <c r="B128" s="28" t="s">
        <v>370</v>
      </c>
      <c r="C128" s="28" t="s">
        <v>350</v>
      </c>
      <c r="D128" s="1385">
        <v>1</v>
      </c>
      <c r="E128" s="1386">
        <f t="shared" si="35"/>
        <v>1.2</v>
      </c>
      <c r="F128" s="346">
        <f t="shared" si="43"/>
        <v>1.2</v>
      </c>
      <c r="G128" s="343">
        <f t="shared" si="40"/>
        <v>0.36</v>
      </c>
      <c r="H128" s="368">
        <f>'MK Bases Model (Base Case)'!$D$16*D128</f>
        <v>44086.151570867165</v>
      </c>
      <c r="I128" s="124">
        <f t="shared" si="41"/>
        <v>903.55421213965792</v>
      </c>
      <c r="J128" s="363">
        <f t="shared" si="42"/>
        <v>1084.2650545675895</v>
      </c>
    </row>
    <row r="129" spans="1:10" ht="16">
      <c r="A129" s="164"/>
      <c r="B129" s="28" t="s">
        <v>371</v>
      </c>
      <c r="C129" s="28" t="s">
        <v>350</v>
      </c>
      <c r="D129" s="1385">
        <v>2</v>
      </c>
      <c r="E129" s="1386">
        <f t="shared" si="35"/>
        <v>1</v>
      </c>
      <c r="F129" s="346">
        <f t="shared" si="43"/>
        <v>2</v>
      </c>
      <c r="G129" s="343">
        <f t="shared" si="40"/>
        <v>0.6</v>
      </c>
      <c r="H129" s="368">
        <f>'MK Bases Model (Base Case)'!$D$16*D129</f>
        <v>88172.30314173433</v>
      </c>
      <c r="I129" s="124">
        <f t="shared" si="41"/>
        <v>989.79404783539781</v>
      </c>
      <c r="J129" s="363">
        <f t="shared" si="42"/>
        <v>1979.5880956707956</v>
      </c>
    </row>
    <row r="130" spans="1:10" ht="16">
      <c r="A130" s="164"/>
      <c r="B130" s="28" t="s">
        <v>372</v>
      </c>
      <c r="C130" s="28" t="s">
        <v>350</v>
      </c>
      <c r="D130" s="1385">
        <v>2</v>
      </c>
      <c r="E130" s="1386">
        <f t="shared" si="35"/>
        <v>0.25</v>
      </c>
      <c r="F130" s="346">
        <f t="shared" si="43"/>
        <v>0.5</v>
      </c>
      <c r="G130" s="343">
        <f t="shared" si="40"/>
        <v>0.15</v>
      </c>
      <c r="H130" s="368">
        <f>'MK Bases Model (Base Case)'!$D$16*D130</f>
        <v>88172.30314173433</v>
      </c>
      <c r="I130" s="124">
        <f t="shared" si="41"/>
        <v>1979.5880956707956</v>
      </c>
      <c r="J130" s="363">
        <f t="shared" si="42"/>
        <v>989.79404783539781</v>
      </c>
    </row>
    <row r="131" spans="1:10" ht="16">
      <c r="A131" s="369" t="s">
        <v>373</v>
      </c>
      <c r="B131" s="336"/>
      <c r="C131" s="336"/>
      <c r="D131" s="336"/>
      <c r="E131" s="1537"/>
      <c r="F131" s="338">
        <f>SUM(F132)</f>
        <v>0.5</v>
      </c>
      <c r="G131" s="336"/>
      <c r="H131" s="336"/>
      <c r="I131" s="336"/>
      <c r="J131" s="364"/>
    </row>
    <row r="132" spans="1:10" ht="16">
      <c r="A132" s="347"/>
      <c r="B132" s="348" t="s">
        <v>374</v>
      </c>
      <c r="C132" s="348" t="s">
        <v>353</v>
      </c>
      <c r="D132" s="1387">
        <v>1</v>
      </c>
      <c r="E132" s="1386">
        <f t="shared" si="35"/>
        <v>0.5</v>
      </c>
      <c r="F132" s="350">
        <f>E132*D132</f>
        <v>0.5</v>
      </c>
      <c r="G132" s="350">
        <f>F132*0.3</f>
        <v>0.15</v>
      </c>
      <c r="H132" s="370">
        <f>'MK Bases Model (Base Case)'!$D$16*D132</f>
        <v>44086.151570867165</v>
      </c>
      <c r="I132" s="351">
        <f>SQRT((2*H132*F132))/G132</f>
        <v>1399.7801664049834</v>
      </c>
      <c r="J132" s="366">
        <f>I132*F132</f>
        <v>699.89008320249172</v>
      </c>
    </row>
    <row r="133" spans="1:10" ht="16">
      <c r="A133" s="367" t="s">
        <v>381</v>
      </c>
      <c r="B133" s="354"/>
      <c r="C133" s="354"/>
      <c r="D133" s="355">
        <f t="shared" ref="D133:E133" si="44">SUM(D112:D132)</f>
        <v>27</v>
      </c>
      <c r="E133" s="356">
        <f t="shared" si="44"/>
        <v>41.570000000000007</v>
      </c>
      <c r="F133" s="356">
        <f>SUM(F111,F113,F117,F131)*(1-O33)</f>
        <v>41.808800000000005</v>
      </c>
      <c r="G133" s="356">
        <f>SUM(G112:G132)</f>
        <v>14.253</v>
      </c>
      <c r="H133" s="358">
        <f>'MK Bases Model (Base Case)'!$D$16</f>
        <v>44086.151570867165</v>
      </c>
      <c r="I133" s="358">
        <f>SUM(I111:I132)</f>
        <v>22081.290050461303</v>
      </c>
      <c r="J133" s="359">
        <f>SUM(J112:J132)</f>
        <v>28434.687895431438</v>
      </c>
    </row>
    <row r="134" spans="1:10" ht="16">
      <c r="A134" s="3"/>
      <c r="B134" s="3"/>
      <c r="C134" s="3"/>
      <c r="D134" s="3"/>
      <c r="E134" s="3"/>
      <c r="F134" s="238" t="s">
        <v>378</v>
      </c>
      <c r="G134" s="3"/>
      <c r="H134" s="3"/>
      <c r="I134" s="3"/>
      <c r="J134" s="3"/>
    </row>
    <row r="136" spans="1:10" ht="25">
      <c r="A136" s="2020" t="s">
        <v>383</v>
      </c>
      <c r="B136" s="2012"/>
      <c r="C136" s="2012"/>
      <c r="D136" s="2012"/>
      <c r="E136" s="2012"/>
      <c r="F136" s="2012"/>
      <c r="G136" s="2012"/>
      <c r="H136" s="2012"/>
      <c r="I136" s="2012"/>
      <c r="J136" s="1999"/>
    </row>
    <row r="137" spans="1:10" ht="34">
      <c r="A137" s="323"/>
      <c r="B137" s="324"/>
      <c r="C137" s="1007" t="s">
        <v>338</v>
      </c>
      <c r="D137" s="1007" t="s">
        <v>339</v>
      </c>
      <c r="E137" s="1007" t="s">
        <v>340</v>
      </c>
      <c r="F137" s="1007" t="s">
        <v>341</v>
      </c>
      <c r="G137" s="1007" t="s">
        <v>342</v>
      </c>
      <c r="H137" s="1007" t="s">
        <v>377</v>
      </c>
      <c r="I137" s="1007" t="s">
        <v>344</v>
      </c>
      <c r="J137" s="1008" t="s">
        <v>345</v>
      </c>
    </row>
    <row r="138" spans="1:10" ht="16">
      <c r="A138" s="325" t="s">
        <v>349</v>
      </c>
      <c r="B138" s="326"/>
      <c r="C138" s="326"/>
      <c r="D138" s="326"/>
      <c r="E138" s="327"/>
      <c r="F138" s="328">
        <f>SUM(F139)</f>
        <v>19.93</v>
      </c>
      <c r="G138" s="326"/>
      <c r="H138" s="326"/>
      <c r="I138" s="326"/>
      <c r="J138" s="329"/>
    </row>
    <row r="139" spans="1:10" ht="16">
      <c r="A139" s="164"/>
      <c r="B139" s="28" t="s">
        <v>349</v>
      </c>
      <c r="C139" s="28" t="s">
        <v>380</v>
      </c>
      <c r="D139" s="1385">
        <v>1</v>
      </c>
      <c r="E139" s="1386">
        <f>E31</f>
        <v>19.93</v>
      </c>
      <c r="F139" s="343">
        <f>E139*D139</f>
        <v>19.93</v>
      </c>
      <c r="G139" s="343">
        <f>F139*0.3</f>
        <v>5.9790000000000001</v>
      </c>
      <c r="H139" s="371">
        <f>'MK Bases Model (Base Case)'!$E$16*D139</f>
        <v>55491.996238476371</v>
      </c>
      <c r="I139" s="124">
        <f>SQRT((2*H139*F139))/G139</f>
        <v>248.74552009330699</v>
      </c>
      <c r="J139" s="363">
        <f>I139*F139</f>
        <v>4957.4982154596082</v>
      </c>
    </row>
    <row r="140" spans="1:10" ht="16">
      <c r="A140" s="369" t="s">
        <v>351</v>
      </c>
      <c r="B140" s="336"/>
      <c r="C140" s="336"/>
      <c r="D140" s="336"/>
      <c r="E140" s="1537"/>
      <c r="F140" s="338">
        <f>SUM(F141:F143)</f>
        <v>7.79</v>
      </c>
      <c r="G140" s="336"/>
      <c r="H140" s="336"/>
      <c r="I140" s="336"/>
      <c r="J140" s="364"/>
    </row>
    <row r="141" spans="1:10" ht="16">
      <c r="A141" s="164"/>
      <c r="B141" s="28" t="s">
        <v>352</v>
      </c>
      <c r="C141" s="28" t="s">
        <v>353</v>
      </c>
      <c r="D141" s="1385">
        <v>1</v>
      </c>
      <c r="E141" s="1386">
        <f t="shared" ref="E141:E159" si="45">E33</f>
        <v>3</v>
      </c>
      <c r="F141" s="343">
        <f>E141*D141</f>
        <v>3</v>
      </c>
      <c r="G141" s="343">
        <f t="shared" ref="G141:G143" si="46">F141*0.3</f>
        <v>0.89999999999999991</v>
      </c>
      <c r="H141" s="371">
        <f>'MK Bases Model (Base Case)'!$E$16*D141</f>
        <v>55491.996238476371</v>
      </c>
      <c r="I141" s="124">
        <f t="shared" ref="I141:I143" si="47">SQRT((2*H141*F141))/G141</f>
        <v>641.13323419451115</v>
      </c>
      <c r="J141" s="363">
        <f t="shared" ref="J141:J143" si="48">I141*F141</f>
        <v>1923.3997025835333</v>
      </c>
    </row>
    <row r="142" spans="1:10" ht="16">
      <c r="A142" s="164"/>
      <c r="B142" s="28" t="s">
        <v>354</v>
      </c>
      <c r="C142" s="28" t="s">
        <v>353</v>
      </c>
      <c r="D142" s="1385">
        <v>1</v>
      </c>
      <c r="E142" s="1386">
        <f t="shared" si="45"/>
        <v>3.99</v>
      </c>
      <c r="F142" s="346">
        <f t="shared" ref="F142:F143" si="49">E142*D142</f>
        <v>3.99</v>
      </c>
      <c r="G142" s="343">
        <f t="shared" si="46"/>
        <v>1.1970000000000001</v>
      </c>
      <c r="H142" s="371">
        <f>'MK Bases Model (Base Case)'!$E$16*D142</f>
        <v>55491.996238476371</v>
      </c>
      <c r="I142" s="124">
        <f t="shared" si="47"/>
        <v>555.93301916330302</v>
      </c>
      <c r="J142" s="363">
        <f t="shared" si="48"/>
        <v>2218.1727464615792</v>
      </c>
    </row>
    <row r="143" spans="1:10" ht="16">
      <c r="A143" s="164"/>
      <c r="B143" s="28" t="s">
        <v>355</v>
      </c>
      <c r="C143" s="28" t="s">
        <v>353</v>
      </c>
      <c r="D143" s="1385">
        <v>1</v>
      </c>
      <c r="E143" s="1386">
        <f t="shared" si="45"/>
        <v>0.8</v>
      </c>
      <c r="F143" s="346">
        <f t="shared" si="49"/>
        <v>0.8</v>
      </c>
      <c r="G143" s="343">
        <f t="shared" si="46"/>
        <v>0.24</v>
      </c>
      <c r="H143" s="371">
        <f>'MK Bases Model (Base Case)'!$E$16*D143</f>
        <v>55491.996238476371</v>
      </c>
      <c r="I143" s="124">
        <f t="shared" si="47"/>
        <v>1241.5491693677207</v>
      </c>
      <c r="J143" s="363">
        <f t="shared" si="48"/>
        <v>993.23933549417654</v>
      </c>
    </row>
    <row r="144" spans="1:10" ht="16">
      <c r="A144" s="369" t="s">
        <v>356</v>
      </c>
      <c r="B144" s="336"/>
      <c r="C144" s="336"/>
      <c r="D144" s="336"/>
      <c r="E144" s="1537"/>
      <c r="F144" s="338">
        <f>SUM(F145:F157)</f>
        <v>19.290000000000003</v>
      </c>
      <c r="G144" s="336"/>
      <c r="H144" s="336"/>
      <c r="I144" s="336"/>
      <c r="J144" s="365"/>
    </row>
    <row r="145" spans="1:10" ht="16">
      <c r="A145" s="164"/>
      <c r="B145" s="28" t="s">
        <v>358</v>
      </c>
      <c r="C145" s="28" t="s">
        <v>350</v>
      </c>
      <c r="D145" s="1385">
        <v>1</v>
      </c>
      <c r="E145" s="1386">
        <f t="shared" si="45"/>
        <v>2.5</v>
      </c>
      <c r="F145" s="343">
        <f>E145*D145</f>
        <v>2.5</v>
      </c>
      <c r="G145" s="343">
        <f t="shared" ref="G145:G157" si="50">F145*0.3</f>
        <v>0.75</v>
      </c>
      <c r="H145" s="371">
        <f>'MK Bases Model (Base Case)'!$E$16*D145</f>
        <v>55491.996238476371</v>
      </c>
      <c r="I145" s="124">
        <f t="shared" ref="I145:I157" si="51">SQRT((2*H145*F145))/G145</f>
        <v>702.32626946915252</v>
      </c>
      <c r="J145" s="363">
        <f t="shared" ref="J145:J157" si="52">I145*F145</f>
        <v>1755.8156736728813</v>
      </c>
    </row>
    <row r="146" spans="1:10" ht="16">
      <c r="A146" s="164"/>
      <c r="B146" s="28" t="s">
        <v>360</v>
      </c>
      <c r="C146" s="28" t="s">
        <v>353</v>
      </c>
      <c r="D146" s="1385">
        <v>2</v>
      </c>
      <c r="E146" s="1386">
        <f t="shared" si="45"/>
        <v>0.05</v>
      </c>
      <c r="F146" s="346">
        <f t="shared" ref="F146:F157" si="53">E146*D146</f>
        <v>0.1</v>
      </c>
      <c r="G146" s="343">
        <f t="shared" si="50"/>
        <v>0.03</v>
      </c>
      <c r="H146" s="371">
        <f>'MK Bases Model (Base Case)'!$E$16*D146</f>
        <v>110983.99247695274</v>
      </c>
      <c r="I146" s="124">
        <f t="shared" si="51"/>
        <v>4966.1966774708826</v>
      </c>
      <c r="J146" s="363">
        <f t="shared" si="52"/>
        <v>496.61966774708827</v>
      </c>
    </row>
    <row r="147" spans="1:10" ht="16">
      <c r="A147" s="164"/>
      <c r="B147" s="28" t="s">
        <v>362</v>
      </c>
      <c r="C147" s="28" t="s">
        <v>353</v>
      </c>
      <c r="D147" s="1385">
        <v>1</v>
      </c>
      <c r="E147" s="1386">
        <f t="shared" si="45"/>
        <v>3.18</v>
      </c>
      <c r="F147" s="346">
        <f t="shared" si="53"/>
        <v>3.18</v>
      </c>
      <c r="G147" s="343">
        <f t="shared" si="50"/>
        <v>0.95399999999999996</v>
      </c>
      <c r="H147" s="371">
        <f>'MK Bases Model (Base Case)'!$E$16*D147</f>
        <v>55491.996238476371</v>
      </c>
      <c r="I147" s="124">
        <f t="shared" si="51"/>
        <v>622.72364626051763</v>
      </c>
      <c r="J147" s="363">
        <f t="shared" si="52"/>
        <v>1980.2611951084461</v>
      </c>
    </row>
    <row r="148" spans="1:10" ht="16">
      <c r="A148" s="164"/>
      <c r="B148" s="28" t="s">
        <v>363</v>
      </c>
      <c r="C148" s="28" t="s">
        <v>350</v>
      </c>
      <c r="D148" s="1385">
        <v>1</v>
      </c>
      <c r="E148" s="1386">
        <f t="shared" si="45"/>
        <v>0.28000000000000003</v>
      </c>
      <c r="F148" s="346">
        <f t="shared" si="53"/>
        <v>0.28000000000000003</v>
      </c>
      <c r="G148" s="343">
        <f t="shared" si="50"/>
        <v>8.4000000000000005E-2</v>
      </c>
      <c r="H148" s="371">
        <f>'MK Bases Model (Base Case)'!$E$16*D148</f>
        <v>55491.996238476371</v>
      </c>
      <c r="I148" s="124">
        <f t="shared" si="51"/>
        <v>2098.6011258915696</v>
      </c>
      <c r="J148" s="363">
        <f t="shared" si="52"/>
        <v>587.60831524963953</v>
      </c>
    </row>
    <row r="149" spans="1:10" ht="16">
      <c r="A149" s="164"/>
      <c r="B149" s="28" t="s">
        <v>364</v>
      </c>
      <c r="C149" s="28" t="s">
        <v>353</v>
      </c>
      <c r="D149" s="1385">
        <v>1</v>
      </c>
      <c r="E149" s="1386">
        <f t="shared" si="45"/>
        <v>0.45</v>
      </c>
      <c r="F149" s="346">
        <f t="shared" si="53"/>
        <v>0.45</v>
      </c>
      <c r="G149" s="343">
        <f t="shared" si="50"/>
        <v>0.13500000000000001</v>
      </c>
      <c r="H149" s="371">
        <f>'MK Bases Model (Base Case)'!$E$16*D149</f>
        <v>55491.996238476371</v>
      </c>
      <c r="I149" s="124">
        <f t="shared" si="51"/>
        <v>1655.398892490294</v>
      </c>
      <c r="J149" s="363">
        <f t="shared" si="52"/>
        <v>744.92950162063232</v>
      </c>
    </row>
    <row r="150" spans="1:10" ht="16">
      <c r="A150" s="164"/>
      <c r="B150" s="28" t="s">
        <v>365</v>
      </c>
      <c r="C150" s="28" t="s">
        <v>350</v>
      </c>
      <c r="D150" s="1385">
        <v>2</v>
      </c>
      <c r="E150" s="1386">
        <f t="shared" si="45"/>
        <v>0.99</v>
      </c>
      <c r="F150" s="346">
        <f t="shared" si="53"/>
        <v>1.98</v>
      </c>
      <c r="G150" s="343">
        <f t="shared" si="50"/>
        <v>0.59399999999999997</v>
      </c>
      <c r="H150" s="371">
        <f>'MK Bases Model (Base Case)'!$E$16*D150</f>
        <v>110983.99247695274</v>
      </c>
      <c r="I150" s="124">
        <f t="shared" si="51"/>
        <v>1116.0697056387596</v>
      </c>
      <c r="J150" s="363">
        <f t="shared" si="52"/>
        <v>2209.8180171647441</v>
      </c>
    </row>
    <row r="151" spans="1:10" ht="16">
      <c r="A151" s="164"/>
      <c r="B151" s="28" t="s">
        <v>366</v>
      </c>
      <c r="C151" s="28" t="s">
        <v>350</v>
      </c>
      <c r="D151" s="1385">
        <v>2</v>
      </c>
      <c r="E151" s="1386">
        <f t="shared" si="45"/>
        <v>1.35</v>
      </c>
      <c r="F151" s="346">
        <f t="shared" si="53"/>
        <v>2.7</v>
      </c>
      <c r="G151" s="343">
        <f t="shared" si="50"/>
        <v>0.81</v>
      </c>
      <c r="H151" s="371">
        <f>'MK Bases Model (Base Case)'!$E$16*D151</f>
        <v>110983.99247695274</v>
      </c>
      <c r="I151" s="124">
        <f t="shared" si="51"/>
        <v>955.74499619547964</v>
      </c>
      <c r="J151" s="363">
        <f t="shared" si="52"/>
        <v>2580.5114897277954</v>
      </c>
    </row>
    <row r="152" spans="1:10" ht="16">
      <c r="A152" s="164"/>
      <c r="B152" s="28" t="s">
        <v>367</v>
      </c>
      <c r="C152" s="28" t="s">
        <v>353</v>
      </c>
      <c r="D152" s="1385">
        <v>4</v>
      </c>
      <c r="E152" s="1386">
        <f t="shared" si="45"/>
        <v>0.5</v>
      </c>
      <c r="F152" s="346">
        <f t="shared" si="53"/>
        <v>2</v>
      </c>
      <c r="G152" s="346">
        <f t="shared" si="50"/>
        <v>0.6</v>
      </c>
      <c r="H152" s="371">
        <f>'MK Bases Model (Base Case)'!$E$16*D152</f>
        <v>221967.98495390548</v>
      </c>
      <c r="I152" s="124">
        <f t="shared" si="51"/>
        <v>1570.4492809168603</v>
      </c>
      <c r="J152" s="363">
        <f t="shared" si="52"/>
        <v>3140.8985618337206</v>
      </c>
    </row>
    <row r="153" spans="1:10" ht="16">
      <c r="A153" s="164"/>
      <c r="B153" s="28" t="s">
        <v>368</v>
      </c>
      <c r="C153" s="28" t="s">
        <v>353</v>
      </c>
      <c r="D153" s="1385">
        <v>2</v>
      </c>
      <c r="E153" s="1386">
        <f t="shared" si="45"/>
        <v>0.8</v>
      </c>
      <c r="F153" s="346">
        <f t="shared" si="53"/>
        <v>1.6</v>
      </c>
      <c r="G153" s="343">
        <f t="shared" si="50"/>
        <v>0.48</v>
      </c>
      <c r="H153" s="371">
        <f>'MK Bases Model (Base Case)'!$E$16*D153</f>
        <v>110983.99247695274</v>
      </c>
      <c r="I153" s="124">
        <f t="shared" si="51"/>
        <v>1241.5491693677207</v>
      </c>
      <c r="J153" s="363">
        <f t="shared" si="52"/>
        <v>1986.4786709883531</v>
      </c>
    </row>
    <row r="154" spans="1:10" ht="16">
      <c r="A154" s="164"/>
      <c r="B154" s="28" t="s">
        <v>369</v>
      </c>
      <c r="C154" s="28" t="s">
        <v>353</v>
      </c>
      <c r="D154" s="1385">
        <v>1</v>
      </c>
      <c r="E154" s="1386">
        <f t="shared" si="45"/>
        <v>0.8</v>
      </c>
      <c r="F154" s="346">
        <f t="shared" si="53"/>
        <v>0.8</v>
      </c>
      <c r="G154" s="343">
        <f t="shared" si="50"/>
        <v>0.24</v>
      </c>
      <c r="H154" s="371">
        <f>'MK Bases Model (Base Case)'!$E$16*D154</f>
        <v>55491.996238476371</v>
      </c>
      <c r="I154" s="124">
        <f t="shared" si="51"/>
        <v>1241.5491693677207</v>
      </c>
      <c r="J154" s="363">
        <f t="shared" si="52"/>
        <v>993.23933549417654</v>
      </c>
    </row>
    <row r="155" spans="1:10" ht="16">
      <c r="A155" s="164"/>
      <c r="B155" s="28" t="s">
        <v>370</v>
      </c>
      <c r="C155" s="28" t="s">
        <v>350</v>
      </c>
      <c r="D155" s="1385">
        <v>1</v>
      </c>
      <c r="E155" s="1386">
        <f t="shared" si="45"/>
        <v>1.2</v>
      </c>
      <c r="F155" s="346">
        <f t="shared" si="53"/>
        <v>1.2</v>
      </c>
      <c r="G155" s="343">
        <f t="shared" si="50"/>
        <v>0.36</v>
      </c>
      <c r="H155" s="371">
        <f>'MK Bases Model (Base Case)'!$E$16*D155</f>
        <v>55491.996238476371</v>
      </c>
      <c r="I155" s="124">
        <f t="shared" si="51"/>
        <v>1013.7206518424022</v>
      </c>
      <c r="J155" s="363">
        <f t="shared" si="52"/>
        <v>1216.4647822108825</v>
      </c>
    </row>
    <row r="156" spans="1:10" ht="16">
      <c r="A156" s="164"/>
      <c r="B156" s="28" t="s">
        <v>371</v>
      </c>
      <c r="C156" s="28" t="s">
        <v>350</v>
      </c>
      <c r="D156" s="1385">
        <v>2</v>
      </c>
      <c r="E156" s="1386">
        <f t="shared" si="45"/>
        <v>1</v>
      </c>
      <c r="F156" s="346">
        <f t="shared" si="53"/>
        <v>2</v>
      </c>
      <c r="G156" s="343">
        <f t="shared" si="50"/>
        <v>0.6</v>
      </c>
      <c r="H156" s="371">
        <f>'MK Bases Model (Base Case)'!$E$16*D156</f>
        <v>110983.99247695274</v>
      </c>
      <c r="I156" s="124">
        <f t="shared" si="51"/>
        <v>1110.4753360458492</v>
      </c>
      <c r="J156" s="363">
        <f t="shared" si="52"/>
        <v>2220.9506720916984</v>
      </c>
    </row>
    <row r="157" spans="1:10" ht="16">
      <c r="A157" s="164"/>
      <c r="B157" s="28" t="s">
        <v>372</v>
      </c>
      <c r="C157" s="28" t="s">
        <v>350</v>
      </c>
      <c r="D157" s="1385">
        <v>2</v>
      </c>
      <c r="E157" s="1386">
        <f t="shared" si="45"/>
        <v>0.25</v>
      </c>
      <c r="F157" s="346">
        <f t="shared" si="53"/>
        <v>0.5</v>
      </c>
      <c r="G157" s="343">
        <f t="shared" si="50"/>
        <v>0.15</v>
      </c>
      <c r="H157" s="371">
        <f>'MK Bases Model (Base Case)'!$E$16*D157</f>
        <v>110983.99247695274</v>
      </c>
      <c r="I157" s="124">
        <f t="shared" si="51"/>
        <v>2220.9506720916984</v>
      </c>
      <c r="J157" s="363">
        <f t="shared" si="52"/>
        <v>1110.4753360458492</v>
      </c>
    </row>
    <row r="158" spans="1:10" ht="16">
      <c r="A158" s="369" t="s">
        <v>373</v>
      </c>
      <c r="B158" s="336"/>
      <c r="C158" s="336"/>
      <c r="D158" s="336"/>
      <c r="E158" s="1537"/>
      <c r="F158" s="338">
        <f>SUM(F159)</f>
        <v>0.5</v>
      </c>
      <c r="G158" s="336"/>
      <c r="H158" s="336"/>
      <c r="I158" s="336"/>
      <c r="J158" s="364"/>
    </row>
    <row r="159" spans="1:10" ht="16">
      <c r="A159" s="347"/>
      <c r="B159" s="348" t="s">
        <v>374</v>
      </c>
      <c r="C159" s="348" t="s">
        <v>353</v>
      </c>
      <c r="D159" s="1387">
        <v>1</v>
      </c>
      <c r="E159" s="1386">
        <f t="shared" si="45"/>
        <v>0.5</v>
      </c>
      <c r="F159" s="350">
        <f>E159*D159</f>
        <v>0.5</v>
      </c>
      <c r="G159" s="350">
        <f>F159*0.3</f>
        <v>0.15</v>
      </c>
      <c r="H159" s="372">
        <f>'MK Bases Model (Base Case)'!$E$16*D159</f>
        <v>55491.996238476371</v>
      </c>
      <c r="I159" s="351">
        <f>SQRT((2*H159*F159))/G159</f>
        <v>1570.4492809168603</v>
      </c>
      <c r="J159" s="366">
        <f>I159*F159</f>
        <v>785.22464045843014</v>
      </c>
    </row>
    <row r="160" spans="1:10" ht="16">
      <c r="A160" s="367" t="s">
        <v>381</v>
      </c>
      <c r="B160" s="354"/>
      <c r="C160" s="354"/>
      <c r="D160" s="355">
        <f t="shared" ref="D160:E160" si="54">SUM(D139:D159)</f>
        <v>27</v>
      </c>
      <c r="E160" s="356">
        <f t="shared" si="54"/>
        <v>41.570000000000007</v>
      </c>
      <c r="F160" s="356">
        <f>SUM(F138,F140,F144,F158)*(1-O34)</f>
        <v>40.383500000000005</v>
      </c>
      <c r="G160" s="356">
        <f>SUM(G139:G159)</f>
        <v>14.253</v>
      </c>
      <c r="H160" s="358">
        <f>'MK Bases Model (Base Case)'!$E$16</f>
        <v>55491.996238476371</v>
      </c>
      <c r="I160" s="358">
        <f>SUM(I138:I159)</f>
        <v>24773.565816784609</v>
      </c>
      <c r="J160" s="359">
        <f>SUM(J139:J159)</f>
        <v>31901.605859413234</v>
      </c>
    </row>
    <row r="161" spans="1:10" ht="16">
      <c r="A161" s="3"/>
      <c r="B161" s="3"/>
      <c r="C161" s="3"/>
      <c r="D161" s="3"/>
      <c r="E161" s="3"/>
      <c r="F161" s="238" t="s">
        <v>378</v>
      </c>
      <c r="G161" s="3"/>
      <c r="H161" s="3"/>
      <c r="I161" s="3"/>
      <c r="J161" s="3"/>
    </row>
    <row r="163" spans="1:10" ht="25">
      <c r="A163" s="2020" t="s">
        <v>384</v>
      </c>
      <c r="B163" s="2012"/>
      <c r="C163" s="2012"/>
      <c r="D163" s="2012"/>
      <c r="E163" s="2012"/>
      <c r="F163" s="2012"/>
      <c r="G163" s="2012"/>
      <c r="H163" s="2012"/>
      <c r="I163" s="2012"/>
      <c r="J163" s="1999"/>
    </row>
    <row r="164" spans="1:10" ht="34">
      <c r="A164" s="323"/>
      <c r="B164" s="324"/>
      <c r="C164" s="1007" t="s">
        <v>338</v>
      </c>
      <c r="D164" s="1007" t="s">
        <v>339</v>
      </c>
      <c r="E164" s="1007" t="s">
        <v>340</v>
      </c>
      <c r="F164" s="1007" t="s">
        <v>341</v>
      </c>
      <c r="G164" s="1007" t="s">
        <v>342</v>
      </c>
      <c r="H164" s="1007" t="s">
        <v>377</v>
      </c>
      <c r="I164" s="1007" t="s">
        <v>344</v>
      </c>
      <c r="J164" s="1008" t="s">
        <v>345</v>
      </c>
    </row>
    <row r="165" spans="1:10" ht="16">
      <c r="A165" s="325" t="s">
        <v>349</v>
      </c>
      <c r="B165" s="326"/>
      <c r="C165" s="326"/>
      <c r="D165" s="326"/>
      <c r="E165" s="327"/>
      <c r="F165" s="328">
        <f>SUM(F166)</f>
        <v>19.93</v>
      </c>
      <c r="G165" s="326"/>
      <c r="H165" s="326"/>
      <c r="I165" s="326"/>
      <c r="J165" s="329"/>
    </row>
    <row r="166" spans="1:10" ht="16">
      <c r="A166" s="164"/>
      <c r="B166" s="28" t="s">
        <v>349</v>
      </c>
      <c r="C166" s="28" t="s">
        <v>380</v>
      </c>
      <c r="D166" s="1385">
        <v>1</v>
      </c>
      <c r="E166" s="1386">
        <f>E31</f>
        <v>19.93</v>
      </c>
      <c r="F166" s="343">
        <f>E166*D166</f>
        <v>19.93</v>
      </c>
      <c r="G166" s="343">
        <f>F166*0.3</f>
        <v>5.9790000000000001</v>
      </c>
      <c r="H166" s="371">
        <f>'MK Bases Model (Base Case)'!$F$16*D166</f>
        <v>71384.076452087247</v>
      </c>
      <c r="I166" s="124">
        <f>SQRT((2*H166*F166))/G166</f>
        <v>282.12447655826605</v>
      </c>
      <c r="J166" s="363">
        <f>I166*F166</f>
        <v>5622.7408178062424</v>
      </c>
    </row>
    <row r="167" spans="1:10" ht="16">
      <c r="A167" s="369" t="s">
        <v>351</v>
      </c>
      <c r="B167" s="336"/>
      <c r="C167" s="336"/>
      <c r="D167" s="336"/>
      <c r="E167" s="1537"/>
      <c r="F167" s="338">
        <f>SUM(F168:F170)</f>
        <v>7.79</v>
      </c>
      <c r="G167" s="336"/>
      <c r="H167" s="373"/>
      <c r="I167" s="336"/>
      <c r="J167" s="364"/>
    </row>
    <row r="168" spans="1:10" ht="16">
      <c r="A168" s="164"/>
      <c r="B168" s="28" t="s">
        <v>352</v>
      </c>
      <c r="C168" s="28" t="s">
        <v>353</v>
      </c>
      <c r="D168" s="1385">
        <v>1</v>
      </c>
      <c r="E168" s="1386">
        <f t="shared" ref="E168:E186" si="55">E33</f>
        <v>3</v>
      </c>
      <c r="F168" s="343">
        <f>E168*D168</f>
        <v>3</v>
      </c>
      <c r="G168" s="343">
        <f t="shared" ref="G168:G170" si="56">F168*0.3</f>
        <v>0.89999999999999991</v>
      </c>
      <c r="H168" s="371">
        <f>'MK Bases Model (Base Case)'!$F$16*D168</f>
        <v>71384.076452087247</v>
      </c>
      <c r="I168" s="124">
        <f t="shared" ref="I168:I170" si="57">SQRT((2*H168*F168))/G168</f>
        <v>727.16637482912245</v>
      </c>
      <c r="J168" s="363">
        <f t="shared" ref="J168:J170" si="58">I168*F168</f>
        <v>2181.4991244873672</v>
      </c>
    </row>
    <row r="169" spans="1:10" ht="16">
      <c r="A169" s="164"/>
      <c r="B169" s="28" t="s">
        <v>354</v>
      </c>
      <c r="C169" s="28" t="s">
        <v>353</v>
      </c>
      <c r="D169" s="1385">
        <v>1</v>
      </c>
      <c r="E169" s="1386">
        <f t="shared" si="55"/>
        <v>3.99</v>
      </c>
      <c r="F169" s="346">
        <f t="shared" ref="F169:F170" si="59">E169*D169</f>
        <v>3.99</v>
      </c>
      <c r="G169" s="343">
        <f t="shared" si="56"/>
        <v>1.1970000000000001</v>
      </c>
      <c r="H169" s="371">
        <f>'MK Bases Model (Base Case)'!$F$16*D169</f>
        <v>71384.076452087247</v>
      </c>
      <c r="I169" s="124">
        <f t="shared" si="57"/>
        <v>630.53321311704508</v>
      </c>
      <c r="J169" s="363">
        <f t="shared" si="58"/>
        <v>2515.8275203370099</v>
      </c>
    </row>
    <row r="170" spans="1:10" ht="16">
      <c r="A170" s="164"/>
      <c r="B170" s="28" t="s">
        <v>355</v>
      </c>
      <c r="C170" s="28" t="s">
        <v>353</v>
      </c>
      <c r="D170" s="1385">
        <v>1</v>
      </c>
      <c r="E170" s="1386">
        <f t="shared" si="55"/>
        <v>0.8</v>
      </c>
      <c r="F170" s="346">
        <f t="shared" si="59"/>
        <v>0.8</v>
      </c>
      <c r="G170" s="343">
        <f t="shared" si="56"/>
        <v>0.24</v>
      </c>
      <c r="H170" s="371">
        <f>'MK Bases Model (Base Case)'!$F$16*D170</f>
        <v>71384.076452087247</v>
      </c>
      <c r="I170" s="124">
        <f t="shared" si="57"/>
        <v>1408.1516298176059</v>
      </c>
      <c r="J170" s="363">
        <f t="shared" si="58"/>
        <v>1126.5213038540849</v>
      </c>
    </row>
    <row r="171" spans="1:10" ht="16">
      <c r="A171" s="369" t="s">
        <v>356</v>
      </c>
      <c r="B171" s="336"/>
      <c r="C171" s="336"/>
      <c r="D171" s="336"/>
      <c r="E171" s="1537"/>
      <c r="F171" s="338">
        <f>SUM(F172:F184)</f>
        <v>19.290000000000003</v>
      </c>
      <c r="G171" s="336"/>
      <c r="H171" s="373"/>
      <c r="I171" s="336"/>
      <c r="J171" s="365"/>
    </row>
    <row r="172" spans="1:10" ht="16">
      <c r="A172" s="164"/>
      <c r="B172" s="28" t="s">
        <v>358</v>
      </c>
      <c r="C172" s="28" t="s">
        <v>350</v>
      </c>
      <c r="D172" s="1385">
        <v>1</v>
      </c>
      <c r="E172" s="1386">
        <f t="shared" si="55"/>
        <v>2.5</v>
      </c>
      <c r="F172" s="343">
        <f>E172*D172</f>
        <v>2.5</v>
      </c>
      <c r="G172" s="343">
        <f t="shared" ref="G172:G184" si="60">F172*0.3</f>
        <v>0.75</v>
      </c>
      <c r="H172" s="371">
        <f>'MK Bases Model (Base Case)'!$F$16*D172</f>
        <v>71384.076452087247</v>
      </c>
      <c r="I172" s="124">
        <f t="shared" ref="I172:I184" si="61">SQRT((2*H172*F172))/G172</f>
        <v>796.57085310633431</v>
      </c>
      <c r="J172" s="363">
        <f t="shared" ref="J172:J184" si="62">I172*F172</f>
        <v>1991.4271327658357</v>
      </c>
    </row>
    <row r="173" spans="1:10" ht="16">
      <c r="A173" s="164"/>
      <c r="B173" s="28" t="s">
        <v>360</v>
      </c>
      <c r="C173" s="28" t="s">
        <v>353</v>
      </c>
      <c r="D173" s="1385">
        <v>2</v>
      </c>
      <c r="E173" s="1386">
        <f t="shared" si="55"/>
        <v>0.05</v>
      </c>
      <c r="F173" s="346">
        <f t="shared" ref="F173:F183" si="63">E173*D173</f>
        <v>0.1</v>
      </c>
      <c r="G173" s="343">
        <f t="shared" si="60"/>
        <v>0.03</v>
      </c>
      <c r="H173" s="371">
        <f>'MK Bases Model (Base Case)'!$F$16*D173</f>
        <v>142768.15290417449</v>
      </c>
      <c r="I173" s="124">
        <f t="shared" si="61"/>
        <v>5632.6065192704236</v>
      </c>
      <c r="J173" s="363">
        <f t="shared" si="62"/>
        <v>563.26065192704243</v>
      </c>
    </row>
    <row r="174" spans="1:10" ht="16">
      <c r="A174" s="164"/>
      <c r="B174" s="28" t="s">
        <v>362</v>
      </c>
      <c r="C174" s="28" t="s">
        <v>353</v>
      </c>
      <c r="D174" s="1385">
        <v>1</v>
      </c>
      <c r="E174" s="1386">
        <f t="shared" si="55"/>
        <v>3.18</v>
      </c>
      <c r="F174" s="346">
        <f t="shared" si="63"/>
        <v>3.18</v>
      </c>
      <c r="G174" s="343">
        <f t="shared" si="60"/>
        <v>0.95399999999999996</v>
      </c>
      <c r="H174" s="371">
        <f>'MK Bases Model (Base Case)'!$F$16*D174</f>
        <v>71384.076452087247</v>
      </c>
      <c r="I174" s="124">
        <f t="shared" si="61"/>
        <v>706.28641945310983</v>
      </c>
      <c r="J174" s="363">
        <f t="shared" si="62"/>
        <v>2245.9908138608894</v>
      </c>
    </row>
    <row r="175" spans="1:10" ht="16">
      <c r="A175" s="164"/>
      <c r="B175" s="28" t="s">
        <v>363</v>
      </c>
      <c r="C175" s="28" t="s">
        <v>350</v>
      </c>
      <c r="D175" s="1385">
        <v>1</v>
      </c>
      <c r="E175" s="1386">
        <f t="shared" si="55"/>
        <v>0.28000000000000003</v>
      </c>
      <c r="F175" s="346">
        <f t="shared" si="63"/>
        <v>0.28000000000000003</v>
      </c>
      <c r="G175" s="343">
        <f t="shared" si="60"/>
        <v>8.4000000000000005E-2</v>
      </c>
      <c r="H175" s="371">
        <f>'MK Bases Model (Base Case)'!$F$16*D175</f>
        <v>71384.076452087247</v>
      </c>
      <c r="I175" s="124">
        <f t="shared" si="61"/>
        <v>2380.2106824864891</v>
      </c>
      <c r="J175" s="363">
        <f t="shared" si="62"/>
        <v>666.45899109621701</v>
      </c>
    </row>
    <row r="176" spans="1:10" ht="16">
      <c r="A176" s="164"/>
      <c r="B176" s="28" t="s">
        <v>364</v>
      </c>
      <c r="C176" s="28" t="s">
        <v>353</v>
      </c>
      <c r="D176" s="1385">
        <v>1</v>
      </c>
      <c r="E176" s="1386">
        <f t="shared" si="55"/>
        <v>0.45</v>
      </c>
      <c r="F176" s="346">
        <f t="shared" si="63"/>
        <v>0.45</v>
      </c>
      <c r="G176" s="343">
        <f t="shared" si="60"/>
        <v>0.13500000000000001</v>
      </c>
      <c r="H176" s="371">
        <f>'MK Bases Model (Base Case)'!$F$16*D176</f>
        <v>71384.076452087247</v>
      </c>
      <c r="I176" s="124">
        <f t="shared" si="61"/>
        <v>1877.5355064234741</v>
      </c>
      <c r="J176" s="363">
        <f t="shared" si="62"/>
        <v>844.89097789056336</v>
      </c>
    </row>
    <row r="177" spans="1:10" ht="16">
      <c r="A177" s="164"/>
      <c r="B177" s="28" t="s">
        <v>365</v>
      </c>
      <c r="C177" s="28" t="s">
        <v>350</v>
      </c>
      <c r="D177" s="1385">
        <v>2</v>
      </c>
      <c r="E177" s="1386">
        <f t="shared" si="55"/>
        <v>0.99</v>
      </c>
      <c r="F177" s="346">
        <f t="shared" si="63"/>
        <v>1.98</v>
      </c>
      <c r="G177" s="343">
        <f t="shared" si="60"/>
        <v>0.59399999999999997</v>
      </c>
      <c r="H177" s="371">
        <f>'MK Bases Model (Base Case)'!$F$16*D177</f>
        <v>142768.15290417449</v>
      </c>
      <c r="I177" s="124">
        <f t="shared" si="61"/>
        <v>1265.83418020056</v>
      </c>
      <c r="J177" s="363">
        <f t="shared" si="62"/>
        <v>2506.3516767971087</v>
      </c>
    </row>
    <row r="178" spans="1:10" ht="16">
      <c r="A178" s="164"/>
      <c r="B178" s="28" t="s">
        <v>366</v>
      </c>
      <c r="C178" s="28" t="s">
        <v>350</v>
      </c>
      <c r="D178" s="1385">
        <v>2</v>
      </c>
      <c r="E178" s="1386">
        <f t="shared" si="55"/>
        <v>1.35</v>
      </c>
      <c r="F178" s="346">
        <f t="shared" si="63"/>
        <v>2.7</v>
      </c>
      <c r="G178" s="343">
        <f t="shared" si="60"/>
        <v>0.81</v>
      </c>
      <c r="H178" s="371">
        <f>'MK Bases Model (Base Case)'!$F$16*D178</f>
        <v>142768.15290417449</v>
      </c>
      <c r="I178" s="124">
        <f t="shared" si="61"/>
        <v>1083.9956300466731</v>
      </c>
      <c r="J178" s="363">
        <f t="shared" si="62"/>
        <v>2926.7882011260176</v>
      </c>
    </row>
    <row r="179" spans="1:10" ht="16">
      <c r="A179" s="164"/>
      <c r="B179" s="28" t="s">
        <v>367</v>
      </c>
      <c r="C179" s="28" t="s">
        <v>353</v>
      </c>
      <c r="D179" s="1385">
        <v>4</v>
      </c>
      <c r="E179" s="1386">
        <f t="shared" si="55"/>
        <v>0.5</v>
      </c>
      <c r="F179" s="346">
        <f t="shared" si="63"/>
        <v>2</v>
      </c>
      <c r="G179" s="346">
        <f t="shared" si="60"/>
        <v>0.6</v>
      </c>
      <c r="H179" s="371">
        <f>'MK Bases Model (Base Case)'!$F$16*D179</f>
        <v>285536.30580834899</v>
      </c>
      <c r="I179" s="124">
        <f t="shared" si="61"/>
        <v>1781.1865764407632</v>
      </c>
      <c r="J179" s="363">
        <f t="shared" si="62"/>
        <v>3562.3731528815265</v>
      </c>
    </row>
    <row r="180" spans="1:10" ht="16">
      <c r="A180" s="164"/>
      <c r="B180" s="28" t="s">
        <v>368</v>
      </c>
      <c r="C180" s="28" t="s">
        <v>353</v>
      </c>
      <c r="D180" s="1385">
        <v>2</v>
      </c>
      <c r="E180" s="1386">
        <f t="shared" si="55"/>
        <v>0.8</v>
      </c>
      <c r="F180" s="346">
        <f t="shared" si="63"/>
        <v>1.6</v>
      </c>
      <c r="G180" s="343">
        <f t="shared" si="60"/>
        <v>0.48</v>
      </c>
      <c r="H180" s="371">
        <f>'MK Bases Model (Base Case)'!$F$16*D180</f>
        <v>142768.15290417449</v>
      </c>
      <c r="I180" s="124">
        <f t="shared" si="61"/>
        <v>1408.1516298176059</v>
      </c>
      <c r="J180" s="363">
        <f t="shared" si="62"/>
        <v>2253.0426077081697</v>
      </c>
    </row>
    <row r="181" spans="1:10" ht="16">
      <c r="A181" s="164"/>
      <c r="B181" s="28" t="s">
        <v>369</v>
      </c>
      <c r="C181" s="28" t="s">
        <v>353</v>
      </c>
      <c r="D181" s="1385">
        <v>1</v>
      </c>
      <c r="E181" s="1386">
        <f t="shared" si="55"/>
        <v>0.8</v>
      </c>
      <c r="F181" s="346">
        <f t="shared" si="63"/>
        <v>0.8</v>
      </c>
      <c r="G181" s="343">
        <f t="shared" si="60"/>
        <v>0.24</v>
      </c>
      <c r="H181" s="371">
        <f>'MK Bases Model (Base Case)'!$F$16*D181</f>
        <v>71384.076452087247</v>
      </c>
      <c r="I181" s="124">
        <f t="shared" si="61"/>
        <v>1408.1516298176059</v>
      </c>
      <c r="J181" s="363">
        <f t="shared" si="62"/>
        <v>1126.5213038540849</v>
      </c>
    </row>
    <row r="182" spans="1:10" ht="16">
      <c r="A182" s="164"/>
      <c r="B182" s="28" t="s">
        <v>370</v>
      </c>
      <c r="C182" s="28" t="s">
        <v>350</v>
      </c>
      <c r="D182" s="1385">
        <v>1</v>
      </c>
      <c r="E182" s="1386">
        <f t="shared" si="55"/>
        <v>1.2</v>
      </c>
      <c r="F182" s="346">
        <f t="shared" si="63"/>
        <v>1.2</v>
      </c>
      <c r="G182" s="343">
        <f t="shared" si="60"/>
        <v>0.36</v>
      </c>
      <c r="H182" s="371">
        <f>'MK Bases Model (Base Case)'!$F$16*D182</f>
        <v>71384.076452087247</v>
      </c>
      <c r="I182" s="124">
        <f t="shared" si="61"/>
        <v>1149.75099117388</v>
      </c>
      <c r="J182" s="363">
        <f t="shared" si="62"/>
        <v>1379.7011894086561</v>
      </c>
    </row>
    <row r="183" spans="1:10" ht="16">
      <c r="A183" s="164"/>
      <c r="B183" s="28" t="s">
        <v>371</v>
      </c>
      <c r="C183" s="28" t="s">
        <v>350</v>
      </c>
      <c r="D183" s="1385">
        <v>2</v>
      </c>
      <c r="E183" s="1386">
        <f t="shared" si="55"/>
        <v>1</v>
      </c>
      <c r="F183" s="346">
        <f t="shared" si="63"/>
        <v>2</v>
      </c>
      <c r="G183" s="343">
        <f t="shared" si="60"/>
        <v>0.6</v>
      </c>
      <c r="H183" s="371">
        <f>'MK Bases Model (Base Case)'!$F$16*D183</f>
        <v>142768.15290417449</v>
      </c>
      <c r="I183" s="124">
        <f t="shared" si="61"/>
        <v>1259.4891067597143</v>
      </c>
      <c r="J183" s="363">
        <f t="shared" si="62"/>
        <v>2518.9782135194287</v>
      </c>
    </row>
    <row r="184" spans="1:10" ht="16">
      <c r="A184" s="164"/>
      <c r="B184" s="28" t="s">
        <v>372</v>
      </c>
      <c r="C184" s="28" t="s">
        <v>350</v>
      </c>
      <c r="D184" s="1385">
        <v>2</v>
      </c>
      <c r="E184" s="1386">
        <f t="shared" si="55"/>
        <v>0.25</v>
      </c>
      <c r="F184" s="343">
        <f t="shared" ref="F184" si="64">E184*D184</f>
        <v>0.5</v>
      </c>
      <c r="G184" s="343">
        <f t="shared" si="60"/>
        <v>0.15</v>
      </c>
      <c r="H184" s="371">
        <f>'MK Bases Model (Base Case)'!$F$16*D184</f>
        <v>142768.15290417449</v>
      </c>
      <c r="I184" s="124">
        <f t="shared" si="61"/>
        <v>2518.9782135194287</v>
      </c>
      <c r="J184" s="363">
        <f t="shared" si="62"/>
        <v>1259.4891067597143</v>
      </c>
    </row>
    <row r="185" spans="1:10" ht="16">
      <c r="A185" s="369" t="s">
        <v>373</v>
      </c>
      <c r="B185" s="336"/>
      <c r="C185" s="336"/>
      <c r="D185" s="336"/>
      <c r="E185" s="1537"/>
      <c r="F185" s="338">
        <f>SUM(F186)</f>
        <v>0.5</v>
      </c>
      <c r="G185" s="336"/>
      <c r="H185" s="373"/>
      <c r="I185" s="336"/>
      <c r="J185" s="364"/>
    </row>
    <row r="186" spans="1:10" ht="16">
      <c r="A186" s="347"/>
      <c r="B186" s="348" t="s">
        <v>374</v>
      </c>
      <c r="C186" s="348" t="s">
        <v>353</v>
      </c>
      <c r="D186" s="1387">
        <v>1</v>
      </c>
      <c r="E186" s="1386">
        <f t="shared" si="55"/>
        <v>0.5</v>
      </c>
      <c r="F186" s="350">
        <f>E186*D186</f>
        <v>0.5</v>
      </c>
      <c r="G186" s="350">
        <f>F186*0.3</f>
        <v>0.15</v>
      </c>
      <c r="H186" s="372">
        <f>'MK Bases Model (Base Case)'!$F$16*D186</f>
        <v>71384.076452087247</v>
      </c>
      <c r="I186" s="351">
        <f>SQRT((2*H186*F186))/G186</f>
        <v>1781.1865764407632</v>
      </c>
      <c r="J186" s="366">
        <f>I186*F186</f>
        <v>890.59328822038162</v>
      </c>
    </row>
    <row r="187" spans="1:10" ht="16">
      <c r="A187" s="374" t="s">
        <v>381</v>
      </c>
      <c r="B187" s="375"/>
      <c r="C187" s="375"/>
      <c r="D187" s="376">
        <f t="shared" ref="D187:E187" si="65">SUM(D166:D186)</f>
        <v>27</v>
      </c>
      <c r="E187" s="377">
        <f t="shared" si="65"/>
        <v>41.570000000000007</v>
      </c>
      <c r="F187" s="377">
        <f>SUM(F165,F167,F171,F185)*(1-O35)</f>
        <v>38.958200000000005</v>
      </c>
      <c r="G187" s="377">
        <f>SUM(G166:G186)</f>
        <v>14.253</v>
      </c>
      <c r="H187" s="378">
        <f>'MK Bases Model (Base Case)'!$F$16</f>
        <v>71384.076452087247</v>
      </c>
      <c r="I187" s="378">
        <f>SUM(I165:I186)</f>
        <v>28097.910209278867</v>
      </c>
      <c r="J187" s="379">
        <f>SUM(J166:J186)</f>
        <v>36182.456074300339</v>
      </c>
    </row>
    <row r="188" spans="1:10" ht="16">
      <c r="F188" s="238" t="s">
        <v>378</v>
      </c>
    </row>
  </sheetData>
  <mergeCells count="8">
    <mergeCell ref="A109:J109"/>
    <mergeCell ref="A136:J136"/>
    <mergeCell ref="A163:J163"/>
    <mergeCell ref="A28:J28"/>
    <mergeCell ref="L28:P28"/>
    <mergeCell ref="L36:M36"/>
    <mergeCell ref="A55:J55"/>
    <mergeCell ref="A82:J82"/>
  </mergeCells>
  <hyperlinks>
    <hyperlink ref="A1" location="Index!A1" display="Index" xr:uid="{54CBB6E9-0C62-054A-951F-C612FB4938A6}"/>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outlinePr summaryBelow="0" summaryRight="0"/>
  </sheetPr>
  <dimension ref="A1:AB1021"/>
  <sheetViews>
    <sheetView topLeftCell="A83" zoomScaleNormal="70" workbookViewId="0">
      <selection activeCell="A94" sqref="A94:C118"/>
    </sheetView>
  </sheetViews>
  <sheetFormatPr baseColWidth="10" defaultColWidth="14.33203125" defaultRowHeight="15.75" customHeight="1"/>
  <cols>
    <col min="1" max="1" width="43.33203125" customWidth="1"/>
    <col min="2" max="2" width="19.6640625" customWidth="1"/>
    <col min="3" max="3" width="28.6640625" customWidth="1"/>
    <col min="4" max="11" width="17.33203125" customWidth="1"/>
    <col min="16" max="16" width="20.1640625" customWidth="1"/>
    <col min="17" max="17" width="18.6640625" customWidth="1"/>
  </cols>
  <sheetData>
    <row r="1" spans="1:28" ht="26" customHeight="1">
      <c r="A1" s="438" t="s">
        <v>0</v>
      </c>
      <c r="E1" s="6"/>
      <c r="F1" s="6"/>
      <c r="G1" s="6"/>
      <c r="H1" s="6"/>
      <c r="I1" s="6"/>
      <c r="J1" s="6"/>
      <c r="K1" s="6"/>
      <c r="L1" s="6"/>
      <c r="M1" s="6"/>
      <c r="N1" s="6"/>
      <c r="O1" s="6"/>
      <c r="P1" s="6"/>
      <c r="Q1" s="6"/>
    </row>
    <row r="2" spans="1:28" ht="15.75" customHeight="1">
      <c r="S2" s="3"/>
      <c r="T2" s="3"/>
      <c r="U2" s="3"/>
      <c r="V2" s="3"/>
      <c r="W2" s="3"/>
      <c r="X2" s="3"/>
      <c r="Y2" s="3"/>
      <c r="Z2" s="3"/>
      <c r="AA2" s="3"/>
      <c r="AB2" s="3"/>
    </row>
    <row r="3" spans="1:28" ht="15.75" customHeight="1">
      <c r="A3" s="2035" t="s">
        <v>965</v>
      </c>
      <c r="B3" s="2036"/>
      <c r="C3" s="2037"/>
      <c r="E3" s="14" t="s">
        <v>673</v>
      </c>
      <c r="F3" s="14" t="s">
        <v>674</v>
      </c>
      <c r="G3" s="717" t="s">
        <v>675</v>
      </c>
      <c r="AB3" s="3"/>
    </row>
    <row r="4" spans="1:28" ht="15.75" customHeight="1">
      <c r="A4" s="459" t="s">
        <v>676</v>
      </c>
      <c r="B4" s="360">
        <f>SUM('OM Aggregate Hybrid Plan Y0-5'!P7:P10)</f>
        <v>1967.9999999999998</v>
      </c>
      <c r="C4" s="6"/>
      <c r="E4" s="14" t="s">
        <v>677</v>
      </c>
      <c r="F4" s="14" t="s">
        <v>678</v>
      </c>
      <c r="G4" s="717" t="s">
        <v>679</v>
      </c>
      <c r="AB4" s="3"/>
    </row>
    <row r="5" spans="1:28" ht="15.75" customHeight="1">
      <c r="A5" s="459" t="s">
        <v>680</v>
      </c>
      <c r="B5" s="360">
        <f>SUM('OM Aggregate Hybrid Plan Y0-5'!P31:P34)</f>
        <v>10440</v>
      </c>
      <c r="C5" s="207"/>
      <c r="AB5" s="3"/>
    </row>
    <row r="6" spans="1:28" ht="15.75" customHeight="1">
      <c r="A6" s="459" t="s">
        <v>681</v>
      </c>
      <c r="B6" s="542">
        <f>SUM('OM Aggregate Hybrid Plan Y0-5'!P56:P59)</f>
        <v>18302.400000000001</v>
      </c>
      <c r="C6" s="207"/>
      <c r="E6" s="3"/>
      <c r="F6" s="14"/>
      <c r="G6" s="3"/>
      <c r="AB6" s="3"/>
    </row>
    <row r="7" spans="1:28" ht="15.75" customHeight="1">
      <c r="A7" s="459" t="s">
        <v>682</v>
      </c>
      <c r="B7" s="542">
        <f>SUM('OM Aggregate Hybrid Plan Y0-5'!P82:P85)</f>
        <v>42393.599999999999</v>
      </c>
      <c r="C7" s="207"/>
      <c r="D7" s="3"/>
      <c r="AB7" s="3"/>
    </row>
    <row r="8" spans="1:28" ht="15.75" customHeight="1">
      <c r="A8" s="459" t="s">
        <v>683</v>
      </c>
      <c r="B8" s="360">
        <f>SUM('OM Aggregate Hybrid Plan Y0-5'!P107:P110)</f>
        <v>54475.199999999997</v>
      </c>
      <c r="C8" s="268"/>
      <c r="AB8" s="3"/>
    </row>
    <row r="9" spans="1:28" ht="15.75" customHeight="1">
      <c r="A9" s="459" t="s">
        <v>684</v>
      </c>
      <c r="B9" s="360">
        <f>SUM('OM Aggregate Hybrid Plan Y0-5'!P132:P135)</f>
        <v>69619.199999999997</v>
      </c>
      <c r="C9" s="6"/>
      <c r="AB9" s="3"/>
    </row>
    <row r="10" spans="1:28" ht="15.75" customHeight="1">
      <c r="A10" s="2035" t="s">
        <v>966</v>
      </c>
      <c r="B10" s="2036"/>
      <c r="C10" s="2037"/>
      <c r="AB10" s="3"/>
    </row>
    <row r="11" spans="1:28" ht="15.75" customHeight="1">
      <c r="A11" s="574" t="s">
        <v>685</v>
      </c>
      <c r="B11" s="1390">
        <v>4</v>
      </c>
      <c r="C11" s="574" t="s">
        <v>686</v>
      </c>
      <c r="AB11" s="3"/>
    </row>
    <row r="12" spans="1:28" ht="15.75" customHeight="1">
      <c r="A12" s="574" t="s">
        <v>687</v>
      </c>
      <c r="B12" s="1390">
        <v>8</v>
      </c>
      <c r="C12" s="574" t="s">
        <v>688</v>
      </c>
      <c r="D12" s="3"/>
      <c r="AB12" s="3"/>
    </row>
    <row r="13" spans="1:28" ht="15.75" customHeight="1">
      <c r="A13" s="574" t="s">
        <v>617</v>
      </c>
      <c r="B13" s="1507">
        <v>20</v>
      </c>
      <c r="C13" s="574" t="s">
        <v>689</v>
      </c>
      <c r="D13" s="3"/>
      <c r="AB13" s="3"/>
    </row>
    <row r="14" spans="1:28" ht="15.75" customHeight="1">
      <c r="A14" s="574" t="s">
        <v>690</v>
      </c>
      <c r="B14" s="6">
        <f>PRODUCT(B11:B13)</f>
        <v>640</v>
      </c>
      <c r="C14" s="574" t="s">
        <v>691</v>
      </c>
      <c r="D14" s="3"/>
      <c r="AB14" s="3"/>
    </row>
    <row r="15" spans="1:28" ht="15.75" customHeight="1">
      <c r="A15" s="574" t="s">
        <v>692</v>
      </c>
      <c r="B15" s="1340">
        <f>'OM Aggregate Hybrid Plan Y0-5'!C18</f>
        <v>3.25</v>
      </c>
      <c r="C15" s="599"/>
      <c r="D15" s="3"/>
      <c r="AB15" s="3"/>
    </row>
    <row r="16" spans="1:28" ht="15.75" customHeight="1">
      <c r="A16" s="574" t="s">
        <v>693</v>
      </c>
      <c r="B16" s="1509">
        <v>0.3</v>
      </c>
      <c r="C16" s="574" t="s">
        <v>694</v>
      </c>
      <c r="D16" s="3"/>
      <c r="AB16" s="3"/>
    </row>
    <row r="17" spans="1:28" ht="15.75" customHeight="1">
      <c r="A17" s="2035" t="s">
        <v>970</v>
      </c>
      <c r="B17" s="2036"/>
      <c r="C17" s="2037"/>
      <c r="D17" s="3"/>
      <c r="AB17" s="3"/>
    </row>
    <row r="18" spans="1:28" ht="15.75" customHeight="1">
      <c r="A18" s="574" t="s">
        <v>685</v>
      </c>
      <c r="B18" s="1362">
        <v>4</v>
      </c>
      <c r="C18" s="268"/>
      <c r="D18" s="3"/>
      <c r="AB18" s="3"/>
    </row>
    <row r="19" spans="1:28" ht="16">
      <c r="A19" s="574" t="s">
        <v>687</v>
      </c>
      <c r="B19" s="1362">
        <v>6</v>
      </c>
      <c r="C19" s="268"/>
      <c r="D19" s="3"/>
      <c r="AB19" s="3"/>
    </row>
    <row r="20" spans="1:28" ht="16">
      <c r="A20" s="574" t="s">
        <v>617</v>
      </c>
      <c r="B20" s="1362">
        <v>20</v>
      </c>
      <c r="C20" s="268"/>
      <c r="D20" s="3"/>
      <c r="AB20" s="3"/>
    </row>
    <row r="21" spans="1:28" ht="16">
      <c r="A21" s="574" t="s">
        <v>690</v>
      </c>
      <c r="B21" s="459">
        <f>PRODUCT(B18:B20)</f>
        <v>480</v>
      </c>
      <c r="C21" s="268"/>
      <c r="D21" s="3"/>
      <c r="AB21" s="3"/>
    </row>
    <row r="22" spans="1:28" ht="16">
      <c r="A22" s="574" t="s">
        <v>692</v>
      </c>
      <c r="B22" s="1340">
        <f>'OM Aggregate Hybrid Plan Y0-5'!C20</f>
        <v>2.5750000000000002</v>
      </c>
      <c r="C22" s="268"/>
      <c r="D22" s="3"/>
      <c r="AB22" s="3"/>
    </row>
    <row r="23" spans="1:28" ht="16">
      <c r="A23" s="2035" t="s">
        <v>967</v>
      </c>
      <c r="B23" s="2036"/>
      <c r="C23" s="2037"/>
      <c r="D23" s="3"/>
      <c r="AB23" s="3"/>
    </row>
    <row r="24" spans="1:28" ht="16">
      <c r="A24" s="459" t="s">
        <v>695</v>
      </c>
      <c r="B24" s="207">
        <f>'OM BOM EOQ Y0-Y5'!P30</f>
        <v>47.510000000000005</v>
      </c>
      <c r="C24" s="574"/>
      <c r="D24" s="3"/>
      <c r="AB24" s="3"/>
    </row>
    <row r="25" spans="1:28" ht="16">
      <c r="A25" s="459" t="s">
        <v>696</v>
      </c>
      <c r="B25" s="207">
        <f>'OM BOM EOQ Y0-Y5'!P31</f>
        <v>46.084700000000005</v>
      </c>
      <c r="C25" s="574" t="s">
        <v>697</v>
      </c>
      <c r="D25" s="3"/>
      <c r="AB25" s="3"/>
    </row>
    <row r="26" spans="1:28" ht="16">
      <c r="A26" s="459" t="s">
        <v>698</v>
      </c>
      <c r="B26" s="207">
        <f>'OM BOM EOQ Y0-Y5'!P32</f>
        <v>46.084700000000005</v>
      </c>
      <c r="C26" s="6"/>
      <c r="D26" s="3"/>
      <c r="AB26" s="3"/>
    </row>
    <row r="27" spans="1:28" ht="16">
      <c r="A27" s="459" t="s">
        <v>699</v>
      </c>
      <c r="B27" s="207">
        <f>'OM BOM EOQ Y0-Y5'!P33</f>
        <v>41.808800000000005</v>
      </c>
      <c r="C27" s="6"/>
      <c r="D27" s="3"/>
      <c r="AB27" s="3"/>
    </row>
    <row r="28" spans="1:28" ht="16">
      <c r="A28" s="459" t="s">
        <v>700</v>
      </c>
      <c r="B28" s="207">
        <f>'OM BOM EOQ Y0-Y5'!P34</f>
        <v>40.383500000000005</v>
      </c>
      <c r="C28" s="6"/>
      <c r="D28" s="3"/>
      <c r="AB28" s="3"/>
    </row>
    <row r="29" spans="1:28" ht="16">
      <c r="A29" s="459" t="s">
        <v>701</v>
      </c>
      <c r="B29" s="207">
        <f>'OM BOM EOQ Y0-Y5'!P35</f>
        <v>38.958200000000005</v>
      </c>
      <c r="C29" s="6"/>
      <c r="D29" s="3"/>
      <c r="AB29" s="3"/>
    </row>
    <row r="30" spans="1:28" ht="16">
      <c r="A30" s="2035" t="s">
        <v>702</v>
      </c>
      <c r="B30" s="2036"/>
      <c r="C30" s="2037"/>
      <c r="D30" s="3"/>
      <c r="AB30" s="3"/>
    </row>
    <row r="31" spans="1:28" ht="16">
      <c r="A31" s="459" t="s">
        <v>703</v>
      </c>
      <c r="B31" s="1508">
        <v>35000</v>
      </c>
      <c r="C31" s="6"/>
      <c r="D31" s="14"/>
      <c r="AB31" s="3"/>
    </row>
    <row r="32" spans="1:28" ht="17" thickBot="1">
      <c r="A32" s="459" t="s">
        <v>704</v>
      </c>
      <c r="B32" s="1508">
        <v>35000</v>
      </c>
      <c r="C32" s="860"/>
      <c r="D32" s="3"/>
      <c r="AB32" s="3"/>
    </row>
    <row r="33" spans="1:28" ht="16">
      <c r="A33" s="268" t="s">
        <v>705</v>
      </c>
      <c r="B33" s="718">
        <f>SUM(B31:B32)</f>
        <v>70000</v>
      </c>
      <c r="C33" s="268"/>
      <c r="D33" s="3"/>
      <c r="AB33" s="3"/>
    </row>
    <row r="34" spans="1:28" ht="16">
      <c r="A34" s="8"/>
      <c r="B34" s="3"/>
      <c r="C34" s="3"/>
      <c r="D34" s="3"/>
      <c r="H34" s="58"/>
      <c r="I34" s="58"/>
      <c r="J34" s="58"/>
      <c r="K34" s="58"/>
      <c r="L34" s="58"/>
      <c r="M34" s="58"/>
      <c r="AB34" s="3"/>
    </row>
    <row r="35" spans="1:28" ht="16">
      <c r="A35" s="1087" t="s">
        <v>706</v>
      </c>
      <c r="B35" s="1088">
        <v>0</v>
      </c>
      <c r="C35" s="1089">
        <v>1</v>
      </c>
      <c r="D35" s="1090">
        <v>2</v>
      </c>
      <c r="E35" s="1089">
        <v>3</v>
      </c>
      <c r="F35" s="1089">
        <v>4</v>
      </c>
      <c r="G35" s="1091">
        <v>5</v>
      </c>
      <c r="H35" s="84" t="s">
        <v>1090</v>
      </c>
      <c r="I35" s="6"/>
      <c r="J35" s="6"/>
      <c r="K35" s="6"/>
      <c r="L35" s="6"/>
      <c r="M35" s="6"/>
      <c r="N35" s="3"/>
      <c r="AB35" s="3"/>
    </row>
    <row r="36" spans="1:28" ht="16">
      <c r="A36" s="2033" t="s">
        <v>707</v>
      </c>
      <c r="B36" s="2034"/>
      <c r="C36" s="552"/>
      <c r="D36" s="552"/>
      <c r="E36" s="552"/>
      <c r="F36" s="552"/>
      <c r="G36" s="985"/>
      <c r="H36" s="674"/>
      <c r="I36" s="6"/>
      <c r="J36" s="6"/>
      <c r="K36" s="6"/>
      <c r="L36" s="6"/>
      <c r="M36" s="6"/>
      <c r="AB36" s="3"/>
    </row>
    <row r="37" spans="1:28" ht="16">
      <c r="A37" s="986" t="s">
        <v>708</v>
      </c>
      <c r="B37" s="987">
        <f>'OM Labor Costs'!B7+'OM Labor Costs'!B8+'OM Labor Costs'!B23</f>
        <v>8112</v>
      </c>
      <c r="C37" s="987">
        <f>'OM Labor Costs'!C7+'OM Labor Costs'!C8+'OM Labor Costs'!C23</f>
        <v>43572</v>
      </c>
      <c r="D37" s="987">
        <f>'OM Labor Costs'!D7+'OM Labor Costs'!D8+'OM Labor Costs'!D23</f>
        <v>76020</v>
      </c>
      <c r="E37" s="987">
        <f>'OM Labor Costs'!E7+'OM Labor Costs'!E8+'OM Labor Costs'!E23</f>
        <v>177072</v>
      </c>
      <c r="F37" s="987">
        <f>'OM Labor Costs'!F7+'OM Labor Costs'!F8+'OM Labor Costs'!F23</f>
        <v>220644</v>
      </c>
      <c r="G37" s="988">
        <f>'OM Labor Costs'!G7+'OM Labor Costs'!G8+'OM Labor Costs'!G23</f>
        <v>271632</v>
      </c>
      <c r="H37" s="674"/>
      <c r="I37" s="6"/>
      <c r="J37" s="3"/>
      <c r="K37" s="6"/>
      <c r="L37" s="6"/>
      <c r="M37" s="6"/>
      <c r="AB37" s="3"/>
    </row>
    <row r="38" spans="1:28" ht="17" thickBot="1">
      <c r="A38" s="989" t="s">
        <v>709</v>
      </c>
      <c r="B38" s="719">
        <f>'OM Labor Costs'!B9+'OM Labor Costs'!B24</f>
        <v>11717.333333333334</v>
      </c>
      <c r="C38" s="719">
        <f>'OM Labor Costs'!C9+'OM Labor Costs'!C24</f>
        <v>281216</v>
      </c>
      <c r="D38" s="719">
        <f>'OM Labor Costs'!D9+'OM Labor Costs'!D24</f>
        <v>289652.47999999998</v>
      </c>
      <c r="E38" s="719">
        <f>'OM Labor Costs'!E9+'OM Labor Costs'!E24</f>
        <v>298342.05440000002</v>
      </c>
      <c r="F38" s="719">
        <f>'OM Labor Costs'!F9+'OM Labor Costs'!F24</f>
        <v>307292.316032</v>
      </c>
      <c r="G38" s="990">
        <f>'OM Labor Costs'!G9+'OM Labor Costs'!G24</f>
        <v>316511.08551296004</v>
      </c>
      <c r="H38" s="674"/>
      <c r="I38" s="3"/>
      <c r="J38" s="3"/>
      <c r="K38" s="3"/>
      <c r="L38" s="3"/>
      <c r="M38" s="6"/>
      <c r="AB38" s="3"/>
    </row>
    <row r="39" spans="1:28" ht="16">
      <c r="A39" s="986" t="s">
        <v>7</v>
      </c>
      <c r="B39" s="991">
        <f>(SUM(B37:B38)/B4)*$H$39</f>
        <v>10.075880758807591</v>
      </c>
      <c r="C39" s="991">
        <f>(SUM(C37:C38)/B5)*$H$39</f>
        <v>31.109961685823755</v>
      </c>
      <c r="D39" s="991">
        <f>(SUM(D37:D38)/B6)*$H$39</f>
        <v>19.979482472244076</v>
      </c>
      <c r="E39" s="991">
        <f>(SUM(E37:E38)/B7)*$H$39</f>
        <v>11.21428834541063</v>
      </c>
      <c r="F39" s="991">
        <f>(SUM(F37:F38)/B8)*$H$39</f>
        <v>9.6913148741445649</v>
      </c>
      <c r="G39" s="1527">
        <f>(SUM(G37:G38)/B9)*$H$39</f>
        <v>8.4480012053134779</v>
      </c>
      <c r="H39" s="1526">
        <v>1</v>
      </c>
      <c r="I39" s="61"/>
      <c r="J39" s="61"/>
      <c r="K39" s="61"/>
      <c r="L39" s="61"/>
      <c r="M39" s="61"/>
      <c r="N39" s="380"/>
      <c r="O39" s="380"/>
      <c r="P39" s="380"/>
      <c r="Q39" s="380"/>
      <c r="R39" s="380"/>
      <c r="S39" s="380"/>
      <c r="T39" s="380"/>
      <c r="U39" s="380"/>
      <c r="V39" s="380"/>
      <c r="W39" s="380"/>
      <c r="X39" s="380"/>
      <c r="Y39" s="380"/>
      <c r="Z39" s="380"/>
      <c r="AA39" s="380"/>
      <c r="AB39" s="9"/>
    </row>
    <row r="40" spans="1:28" ht="16">
      <c r="A40" s="1540" t="s">
        <v>710</v>
      </c>
      <c r="B40" s="1541">
        <f>B39*B4</f>
        <v>19829.333333333336</v>
      </c>
      <c r="C40" s="1541">
        <f>C39*B5</f>
        <v>324788</v>
      </c>
      <c r="D40" s="1541">
        <f>D39*B6</f>
        <v>365672.48</v>
      </c>
      <c r="E40" s="1541">
        <f>E39*B7</f>
        <v>475414.05440000008</v>
      </c>
      <c r="F40" s="1541">
        <f>F39*B8</f>
        <v>527936.316032</v>
      </c>
      <c r="G40" s="1542">
        <f>G39*B9</f>
        <v>588143.0855129601</v>
      </c>
      <c r="H40" s="1525"/>
      <c r="P40" s="380"/>
      <c r="Q40" s="380"/>
      <c r="R40" s="380"/>
      <c r="S40" s="380"/>
      <c r="T40" s="380"/>
      <c r="U40" s="380"/>
      <c r="V40" s="380"/>
      <c r="W40" s="380"/>
      <c r="X40" s="380"/>
      <c r="Y40" s="380"/>
      <c r="Z40" s="380"/>
      <c r="AA40" s="380"/>
      <c r="AB40" s="9"/>
    </row>
    <row r="41" spans="1:28" ht="16">
      <c r="A41" s="986" t="s">
        <v>711</v>
      </c>
      <c r="B41" s="210">
        <f>$B24*$H$41</f>
        <v>47.510000000000005</v>
      </c>
      <c r="C41" s="210">
        <f>$B25*$H$41</f>
        <v>46.084700000000005</v>
      </c>
      <c r="D41" s="210">
        <f>$B26*$H$41</f>
        <v>46.084700000000005</v>
      </c>
      <c r="E41" s="210">
        <f>$B27*$H$41</f>
        <v>41.808800000000005</v>
      </c>
      <c r="F41" s="210">
        <f>$B28*$H$41</f>
        <v>40.383500000000005</v>
      </c>
      <c r="G41" s="1528">
        <f>$B29*$H$41</f>
        <v>38.958200000000005</v>
      </c>
      <c r="H41" s="1529">
        <f>'QM Simulation 2'!B8</f>
        <v>1</v>
      </c>
      <c r="AB41" s="3"/>
    </row>
    <row r="42" spans="1:28" ht="16">
      <c r="A42" s="1540" t="s">
        <v>712</v>
      </c>
      <c r="B42" s="1546">
        <f>(B41*B4)</f>
        <v>93499.68</v>
      </c>
      <c r="C42" s="1546">
        <f>(C41*B5)</f>
        <v>481124.26800000004</v>
      </c>
      <c r="D42" s="1546">
        <f>(D41*B6)</f>
        <v>843460.61328000017</v>
      </c>
      <c r="E42" s="1546">
        <f>(E41*B7)</f>
        <v>1772425.5436800001</v>
      </c>
      <c r="F42" s="1546">
        <f>(F41*B8)</f>
        <v>2199899.2392000002</v>
      </c>
      <c r="G42" s="1546">
        <f>(G41*B9)</f>
        <v>2712238.7174400003</v>
      </c>
      <c r="H42" s="1530"/>
      <c r="AB42" s="3"/>
    </row>
    <row r="43" spans="1:28" s="903" customFormat="1" ht="16">
      <c r="A43" s="993" t="s">
        <v>714</v>
      </c>
      <c r="B43" s="1539">
        <f>(B44/B4)</f>
        <v>57.585880758807598</v>
      </c>
      <c r="C43" s="1539">
        <f>(C44/B5)</f>
        <v>77.19466168582376</v>
      </c>
      <c r="D43" s="1539">
        <f>(D44/B6)</f>
        <v>66.064182472244084</v>
      </c>
      <c r="E43" s="1539">
        <f>(E44/B7)</f>
        <v>53.023088345410642</v>
      </c>
      <c r="F43" s="1539">
        <f>(F44/B8)</f>
        <v>50.074814874144572</v>
      </c>
      <c r="G43" s="1539">
        <f>(G44/B9)</f>
        <v>47.406201205313479</v>
      </c>
      <c r="H43" s="986"/>
      <c r="AB43" s="904"/>
    </row>
    <row r="44" spans="1:28" ht="16">
      <c r="A44" s="1540" t="s">
        <v>713</v>
      </c>
      <c r="B44" s="1546">
        <f t="shared" ref="B44:G44" si="0">B40+B42</f>
        <v>113329.01333333334</v>
      </c>
      <c r="C44" s="1546">
        <f t="shared" si="0"/>
        <v>805912.26800000004</v>
      </c>
      <c r="D44" s="1546">
        <f t="shared" si="0"/>
        <v>1209133.0932800001</v>
      </c>
      <c r="E44" s="1546">
        <f t="shared" si="0"/>
        <v>2247839.5980800004</v>
      </c>
      <c r="F44" s="1546">
        <f t="shared" si="0"/>
        <v>2727835.5552320001</v>
      </c>
      <c r="G44" s="1546">
        <f t="shared" si="0"/>
        <v>3300381.8029529601</v>
      </c>
      <c r="H44" s="1529"/>
      <c r="I44" s="6"/>
      <c r="J44" s="6"/>
      <c r="K44" s="6"/>
      <c r="L44" s="6"/>
      <c r="M44" s="6"/>
      <c r="AB44" s="3"/>
    </row>
    <row r="45" spans="1:28" s="903" customFormat="1" ht="16">
      <c r="A45" s="993" t="s">
        <v>961</v>
      </c>
      <c r="B45" s="1539">
        <f>0.1*B42*$H$45</f>
        <v>9349.9679999999989</v>
      </c>
      <c r="C45" s="1539">
        <f t="shared" ref="C45:F45" si="1">0.1*C42*$H$45</f>
        <v>48112.426800000008</v>
      </c>
      <c r="D45" s="1539">
        <f t="shared" si="1"/>
        <v>84346.061328000025</v>
      </c>
      <c r="E45" s="1539">
        <f t="shared" si="1"/>
        <v>177242.55436800001</v>
      </c>
      <c r="F45" s="1539">
        <f t="shared" si="1"/>
        <v>219989.92392000003</v>
      </c>
      <c r="G45" s="1539">
        <f>0.1*G42*$H$45</f>
        <v>271223.87174400006</v>
      </c>
      <c r="H45" s="1529">
        <v>1</v>
      </c>
      <c r="I45" s="674"/>
      <c r="J45" s="674"/>
      <c r="K45" s="674"/>
      <c r="L45" s="674"/>
      <c r="M45" s="674"/>
      <c r="AB45" s="904"/>
    </row>
    <row r="46" spans="1:28" ht="16">
      <c r="A46" s="994" t="s">
        <v>715</v>
      </c>
      <c r="B46" s="712">
        <v>0</v>
      </c>
      <c r="C46" s="712">
        <f>('OM Outbound Logistics'!L8)*H46</f>
        <v>16817.525281197293</v>
      </c>
      <c r="D46" s="712">
        <f>('OM Outbound Logistics'!L17)*H46</f>
        <v>24314.150916173247</v>
      </c>
      <c r="E46" s="712">
        <f>('OM Outbound Logistics'!L27)*H46</f>
        <v>59672.891283358462</v>
      </c>
      <c r="F46" s="712">
        <f>('OM Outbound Logistics'!L38)*H46</f>
        <v>75434.70984666</v>
      </c>
      <c r="G46" s="995">
        <f>('OM Outbound Logistics'!L49)*H46</f>
        <v>97713.379210675106</v>
      </c>
      <c r="H46" s="229">
        <v>1</v>
      </c>
      <c r="I46" s="6"/>
      <c r="J46" s="6"/>
      <c r="K46" s="6"/>
      <c r="L46" s="6"/>
      <c r="M46" s="6"/>
      <c r="AB46" s="3"/>
    </row>
    <row r="47" spans="1:28" ht="16">
      <c r="A47" s="1543" t="s">
        <v>716</v>
      </c>
      <c r="B47" s="1544">
        <f>SUM(B44:B46)</f>
        <v>122678.98133333333</v>
      </c>
      <c r="C47" s="1544">
        <f t="shared" ref="C47:G47" si="2">SUM(C44:C46)</f>
        <v>870842.22008119733</v>
      </c>
      <c r="D47" s="1544">
        <f t="shared" si="2"/>
        <v>1317793.3055241734</v>
      </c>
      <c r="E47" s="1544">
        <f t="shared" si="2"/>
        <v>2484755.0437313588</v>
      </c>
      <c r="F47" s="1544">
        <f t="shared" si="2"/>
        <v>3023260.1889986601</v>
      </c>
      <c r="G47" s="1545">
        <f t="shared" si="2"/>
        <v>3669319.0539076352</v>
      </c>
      <c r="H47" s="720"/>
      <c r="I47" s="6"/>
      <c r="J47" s="6"/>
      <c r="K47" s="6"/>
      <c r="L47" s="6"/>
      <c r="M47" s="6"/>
      <c r="AB47" s="3"/>
    </row>
    <row r="48" spans="1:28" ht="16">
      <c r="A48" s="996" t="s">
        <v>717</v>
      </c>
      <c r="B48" s="987"/>
      <c r="C48" s="987"/>
      <c r="D48" s="721"/>
      <c r="E48" s="987"/>
      <c r="F48" s="987"/>
      <c r="G48" s="988"/>
      <c r="H48" s="6"/>
      <c r="I48" s="6"/>
      <c r="J48" s="6"/>
      <c r="K48" s="6"/>
      <c r="L48" s="6"/>
      <c r="M48" s="6"/>
      <c r="AB48" s="3"/>
    </row>
    <row r="49" spans="1:28" ht="16">
      <c r="A49" s="986" t="s">
        <v>648</v>
      </c>
      <c r="B49" s="987">
        <f>(('OM Labor Costs'!C4+'OM Labor Costs'!C20)/12)*2</f>
        <v>17333.333333333332</v>
      </c>
      <c r="C49" s="987">
        <f>'OM Labor Costs'!C4+'OM Labor Costs'!C20</f>
        <v>104000</v>
      </c>
      <c r="D49" s="987">
        <f>'OM Labor Costs'!D4+'OM Labor Costs'!D20</f>
        <v>107120</v>
      </c>
      <c r="E49" s="987">
        <f>'OM Labor Costs'!E4+'OM Labor Costs'!E20</f>
        <v>110333.6</v>
      </c>
      <c r="F49" s="987">
        <f>'OM Labor Costs'!F4+'OM Labor Costs'!F20</f>
        <v>113643.60800000001</v>
      </c>
      <c r="G49" s="988">
        <f>'OM Labor Costs'!G4+'OM Labor Costs'!G20</f>
        <v>117052.91624000001</v>
      </c>
      <c r="H49" s="6"/>
      <c r="I49" s="6"/>
      <c r="J49" s="6"/>
      <c r="K49" s="6"/>
      <c r="L49" s="6"/>
      <c r="M49" s="6"/>
      <c r="AB49" s="3"/>
    </row>
    <row r="50" spans="1:28" ht="16">
      <c r="A50" s="986" t="s">
        <v>718</v>
      </c>
      <c r="B50" s="987">
        <v>0</v>
      </c>
      <c r="C50" s="987">
        <f>'OM Labor Costs'!C5+'OM Labor Costs'!C21</f>
        <v>0</v>
      </c>
      <c r="D50" s="987">
        <f>'OM Labor Costs'!D5+'OM Labor Costs'!D21</f>
        <v>0</v>
      </c>
      <c r="E50" s="987">
        <f>'OM Labor Costs'!E5+'OM Labor Costs'!E21</f>
        <v>55900</v>
      </c>
      <c r="F50" s="987">
        <f>'OM Labor Costs'!F5+'OM Labor Costs'!F21</f>
        <v>57577</v>
      </c>
      <c r="G50" s="988">
        <f>'OM Labor Costs'!G5+'OM Labor Costs'!G21</f>
        <v>59304.310000000005</v>
      </c>
      <c r="H50" s="6"/>
      <c r="I50" s="6"/>
      <c r="J50" s="6"/>
      <c r="K50" s="6"/>
      <c r="L50" s="6"/>
      <c r="M50" s="6"/>
      <c r="AB50" s="3"/>
    </row>
    <row r="51" spans="1:28" ht="16">
      <c r="A51" s="986" t="s">
        <v>650</v>
      </c>
      <c r="B51" s="987">
        <f>'OM Labor Costs'!B6+'OM Labor Costs'!B22</f>
        <v>0</v>
      </c>
      <c r="C51" s="987">
        <f>'OM Labor Costs'!C6+'OM Labor Costs'!C22</f>
        <v>0</v>
      </c>
      <c r="D51" s="987">
        <f>'OM Labor Costs'!D6+'OM Labor Costs'!D22</f>
        <v>0</v>
      </c>
      <c r="E51" s="987">
        <f>'OM Labor Costs'!E6+'OM Labor Costs'!E22</f>
        <v>106600</v>
      </c>
      <c r="F51" s="987">
        <f>'OM Labor Costs'!F6+'OM Labor Costs'!F22</f>
        <v>109798</v>
      </c>
      <c r="G51" s="988">
        <f>'OM Labor Costs'!G6+'OM Labor Costs'!G22</f>
        <v>113091.94</v>
      </c>
      <c r="H51" s="6"/>
      <c r="I51" s="6"/>
      <c r="J51" s="6"/>
      <c r="K51" s="6"/>
      <c r="L51" s="6"/>
      <c r="M51" s="6"/>
      <c r="AB51" s="3"/>
    </row>
    <row r="52" spans="1:28" ht="16">
      <c r="A52" s="986" t="s">
        <v>719</v>
      </c>
      <c r="B52" s="987">
        <f>'OM Labor Costs'!B13+'OM Labor Costs'!B26</f>
        <v>28600</v>
      </c>
      <c r="C52" s="987">
        <f>'OM Labor Costs'!C13+'OM Labor Costs'!C26</f>
        <v>114400</v>
      </c>
      <c r="D52" s="987">
        <f>'OM Labor Costs'!D13+'OM Labor Costs'!D26</f>
        <v>117832</v>
      </c>
      <c r="E52" s="987">
        <f>'OM Labor Costs'!E13+'OM Labor Costs'!E26</f>
        <v>121366.95999999999</v>
      </c>
      <c r="F52" s="987">
        <f>'OM Labor Costs'!F13+'OM Labor Costs'!F26</f>
        <v>125007.96879999999</v>
      </c>
      <c r="G52" s="988">
        <f>'OM Labor Costs'!G13+'OM Labor Costs'!G26</f>
        <v>128758.207864</v>
      </c>
      <c r="H52" s="6"/>
      <c r="I52" s="6"/>
      <c r="J52" s="6"/>
      <c r="K52" s="6"/>
      <c r="L52" s="6"/>
      <c r="M52" s="6"/>
      <c r="AB52" s="3"/>
    </row>
    <row r="53" spans="1:28" ht="16">
      <c r="A53" s="986" t="s">
        <v>720</v>
      </c>
      <c r="B53" s="997">
        <f>B69</f>
        <v>6200</v>
      </c>
      <c r="C53" s="997">
        <f>(B53/2)*12</f>
        <v>37200</v>
      </c>
      <c r="D53" s="997">
        <f>B71</f>
        <v>37200</v>
      </c>
      <c r="E53" s="997">
        <f>B72</f>
        <v>37200</v>
      </c>
      <c r="F53" s="997">
        <f>B73</f>
        <v>37200</v>
      </c>
      <c r="G53" s="988">
        <f>B74</f>
        <v>37200</v>
      </c>
      <c r="H53" s="6"/>
      <c r="I53" s="6"/>
      <c r="J53" s="6"/>
      <c r="K53" s="6"/>
      <c r="L53" s="6"/>
      <c r="M53" s="6"/>
      <c r="AB53" s="3"/>
    </row>
    <row r="54" spans="1:28" ht="16">
      <c r="A54" s="986" t="s">
        <v>677</v>
      </c>
      <c r="B54" s="987">
        <f>B85</f>
        <v>75</v>
      </c>
      <c r="C54" s="987">
        <f>B86</f>
        <v>450</v>
      </c>
      <c r="D54" s="987">
        <f>B87</f>
        <v>450</v>
      </c>
      <c r="E54" s="987">
        <f>B88</f>
        <v>450</v>
      </c>
      <c r="F54" s="987">
        <f>B89</f>
        <v>450</v>
      </c>
      <c r="G54" s="988">
        <f>B90</f>
        <v>450</v>
      </c>
      <c r="H54" s="6"/>
      <c r="I54" s="6"/>
      <c r="J54" s="6"/>
      <c r="K54" s="6"/>
      <c r="L54" s="6"/>
      <c r="M54" s="6"/>
      <c r="AB54" s="3"/>
    </row>
    <row r="55" spans="1:28" ht="16">
      <c r="A55" s="993" t="s">
        <v>721</v>
      </c>
      <c r="B55" s="998">
        <f>SUM(B49:B54)</f>
        <v>52208.333333333328</v>
      </c>
      <c r="C55" s="998">
        <f t="shared" ref="C55:G55" si="3">SUM(C49:C54)</f>
        <v>256050</v>
      </c>
      <c r="D55" s="998">
        <f t="shared" si="3"/>
        <v>262602</v>
      </c>
      <c r="E55" s="998">
        <f t="shared" si="3"/>
        <v>431850.55999999994</v>
      </c>
      <c r="F55" s="998">
        <f t="shared" si="3"/>
        <v>443676.57679999998</v>
      </c>
      <c r="G55" s="998">
        <f t="shared" si="3"/>
        <v>455857.37410400005</v>
      </c>
      <c r="H55" s="1529"/>
      <c r="I55" s="132"/>
      <c r="J55" s="132"/>
      <c r="K55" s="132"/>
      <c r="L55" s="132"/>
      <c r="M55" s="132"/>
      <c r="AB55" s="3"/>
    </row>
    <row r="56" spans="1:28" ht="16">
      <c r="A56" s="999" t="s">
        <v>722</v>
      </c>
      <c r="B56" s="722">
        <f t="shared" ref="B56:G56" si="4">B47+B55</f>
        <v>174887.31466666667</v>
      </c>
      <c r="C56" s="722">
        <f t="shared" si="4"/>
        <v>1126892.2200811973</v>
      </c>
      <c r="D56" s="722">
        <f t="shared" si="4"/>
        <v>1580395.3055241734</v>
      </c>
      <c r="E56" s="722">
        <f t="shared" si="4"/>
        <v>2916605.6037313589</v>
      </c>
      <c r="F56" s="722">
        <f t="shared" si="4"/>
        <v>3466936.76579866</v>
      </c>
      <c r="G56" s="1000">
        <f t="shared" si="4"/>
        <v>4125176.4280116353</v>
      </c>
      <c r="H56" s="6"/>
      <c r="I56" s="6"/>
      <c r="J56" s="6"/>
      <c r="K56" s="6"/>
      <c r="L56" s="6"/>
      <c r="M56" s="6"/>
      <c r="AB56" s="3"/>
    </row>
    <row r="57" spans="1:28" ht="16">
      <c r="A57" s="1001" t="s">
        <v>723</v>
      </c>
      <c r="B57" s="1002">
        <f>(B56/B4)</f>
        <v>88.86550542005422</v>
      </c>
      <c r="C57" s="1002">
        <f>(C56/B5)</f>
        <v>107.93986782386948</v>
      </c>
      <c r="D57" s="1002">
        <f>(D56/B6)</f>
        <v>86.349074740152844</v>
      </c>
      <c r="E57" s="1002">
        <f>(E56/B7)</f>
        <v>68.798252654442152</v>
      </c>
      <c r="F57" s="1002">
        <f>(F56/B8)</f>
        <v>63.642478885780321</v>
      </c>
      <c r="G57" s="1003">
        <f>(G56/B9)</f>
        <v>59.253430490606547</v>
      </c>
      <c r="H57" s="61"/>
      <c r="I57" s="61"/>
      <c r="J57" s="61"/>
      <c r="K57" s="61"/>
      <c r="L57" s="61"/>
      <c r="M57" s="61"/>
      <c r="AB57" s="3"/>
    </row>
    <row r="58" spans="1:28" ht="16">
      <c r="A58" s="6"/>
      <c r="B58" s="6"/>
      <c r="C58" s="6"/>
      <c r="D58" s="6"/>
      <c r="E58" s="6"/>
      <c r="F58" s="6"/>
      <c r="G58" s="6"/>
      <c r="H58" s="6"/>
      <c r="I58" s="6"/>
      <c r="J58" s="6"/>
      <c r="K58" s="6"/>
      <c r="L58" s="6"/>
      <c r="M58" s="6"/>
      <c r="S58" s="3"/>
      <c r="T58" s="3"/>
      <c r="U58" s="3"/>
      <c r="V58" s="3"/>
      <c r="W58" s="3"/>
      <c r="X58" s="3"/>
      <c r="Y58" s="3"/>
      <c r="Z58" s="3"/>
      <c r="AA58" s="3"/>
      <c r="AB58" s="3"/>
    </row>
    <row r="59" spans="1:28" ht="16">
      <c r="A59" s="6"/>
      <c r="B59" s="6"/>
      <c r="C59" s="6"/>
      <c r="D59" s="6"/>
      <c r="E59" s="6"/>
      <c r="F59" s="6"/>
      <c r="G59" s="6"/>
      <c r="H59" s="6"/>
      <c r="I59" s="6"/>
      <c r="J59" s="6"/>
      <c r="K59" s="6"/>
      <c r="L59" s="6"/>
      <c r="M59" s="6"/>
      <c r="S59" s="3"/>
      <c r="T59" s="3"/>
      <c r="U59" s="3"/>
      <c r="V59" s="3"/>
      <c r="W59" s="3"/>
      <c r="X59" s="3"/>
      <c r="Y59" s="3"/>
      <c r="Z59" s="3"/>
      <c r="AA59" s="3"/>
      <c r="AB59" s="3"/>
    </row>
    <row r="60" spans="1:28" ht="16">
      <c r="A60" s="1092" t="s">
        <v>724</v>
      </c>
      <c r="B60" s="723" t="s">
        <v>725</v>
      </c>
      <c r="C60" s="724"/>
      <c r="D60" s="701">
        <f>3100*12</f>
        <v>37200</v>
      </c>
      <c r="E60" s="724"/>
      <c r="F60" s="724"/>
      <c r="G60" s="724"/>
      <c r="H60" s="724"/>
      <c r="I60" s="724"/>
      <c r="J60" s="724"/>
      <c r="K60" s="724"/>
      <c r="L60" s="724"/>
      <c r="M60" s="724"/>
      <c r="S60" s="3"/>
      <c r="T60" s="3"/>
      <c r="U60" s="3"/>
      <c r="V60" s="3"/>
      <c r="W60" s="3"/>
      <c r="X60" s="3"/>
      <c r="Y60" s="3"/>
      <c r="Z60" s="3"/>
      <c r="AA60" s="3"/>
      <c r="AB60" s="3"/>
    </row>
    <row r="61" spans="1:28" ht="16">
      <c r="A61" s="1093" t="s">
        <v>726</v>
      </c>
      <c r="B61" s="1094" t="s">
        <v>727</v>
      </c>
      <c r="C61" s="1094" t="s">
        <v>728</v>
      </c>
      <c r="D61" s="1094" t="s">
        <v>729</v>
      </c>
      <c r="E61" s="1094" t="s">
        <v>730</v>
      </c>
      <c r="F61" s="1094" t="s">
        <v>242</v>
      </c>
      <c r="G61" s="1094" t="s">
        <v>731</v>
      </c>
      <c r="H61" s="1094" t="s">
        <v>244</v>
      </c>
      <c r="I61" s="1094" t="s">
        <v>732</v>
      </c>
      <c r="J61" s="1094" t="s">
        <v>733</v>
      </c>
      <c r="K61" s="1094" t="s">
        <v>734</v>
      </c>
      <c r="L61" s="1094" t="s">
        <v>735</v>
      </c>
      <c r="M61" s="1095" t="s">
        <v>736</v>
      </c>
      <c r="S61" s="3"/>
      <c r="T61" s="3"/>
      <c r="U61" s="3"/>
      <c r="V61" s="3"/>
      <c r="W61" s="3"/>
      <c r="X61" s="3"/>
      <c r="Y61" s="3"/>
      <c r="Z61" s="3"/>
      <c r="AA61" s="3"/>
      <c r="AB61" s="3"/>
    </row>
    <row r="62" spans="1:28" ht="16">
      <c r="A62" s="725">
        <v>0</v>
      </c>
      <c r="B62" s="207"/>
      <c r="C62" s="207"/>
      <c r="D62" s="207"/>
      <c r="E62" s="207"/>
      <c r="F62" s="207"/>
      <c r="G62" s="207"/>
      <c r="H62" s="207"/>
      <c r="I62" s="207"/>
      <c r="J62" s="207"/>
      <c r="K62" s="207"/>
      <c r="L62" s="207">
        <f t="shared" ref="L62:M62" si="5">$D$60/12</f>
        <v>3100</v>
      </c>
      <c r="M62" s="726">
        <f t="shared" si="5"/>
        <v>3100</v>
      </c>
      <c r="S62" s="3"/>
      <c r="T62" s="3"/>
      <c r="U62" s="3"/>
      <c r="V62" s="3"/>
      <c r="W62" s="3"/>
      <c r="X62" s="3"/>
      <c r="Y62" s="3"/>
      <c r="Z62" s="3"/>
      <c r="AA62" s="3"/>
      <c r="AB62" s="3"/>
    </row>
    <row r="63" spans="1:28" ht="16">
      <c r="A63" s="727">
        <v>1</v>
      </c>
      <c r="B63" s="207">
        <f t="shared" ref="B63:M63" si="6">$M$62</f>
        <v>3100</v>
      </c>
      <c r="C63" s="207">
        <f t="shared" si="6"/>
        <v>3100</v>
      </c>
      <c r="D63" s="207">
        <f t="shared" si="6"/>
        <v>3100</v>
      </c>
      <c r="E63" s="207">
        <f t="shared" si="6"/>
        <v>3100</v>
      </c>
      <c r="F63" s="207">
        <f t="shared" si="6"/>
        <v>3100</v>
      </c>
      <c r="G63" s="207">
        <f t="shared" si="6"/>
        <v>3100</v>
      </c>
      <c r="H63" s="207">
        <f t="shared" si="6"/>
        <v>3100</v>
      </c>
      <c r="I63" s="207">
        <f t="shared" si="6"/>
        <v>3100</v>
      </c>
      <c r="J63" s="207">
        <f t="shared" si="6"/>
        <v>3100</v>
      </c>
      <c r="K63" s="207">
        <f t="shared" si="6"/>
        <v>3100</v>
      </c>
      <c r="L63" s="207">
        <f t="shared" si="6"/>
        <v>3100</v>
      </c>
      <c r="M63" s="726">
        <f t="shared" si="6"/>
        <v>3100</v>
      </c>
      <c r="S63" s="3"/>
      <c r="T63" s="3"/>
      <c r="U63" s="3"/>
      <c r="V63" s="3"/>
      <c r="W63" s="3"/>
      <c r="X63" s="3"/>
      <c r="Y63" s="3"/>
      <c r="Z63" s="3"/>
      <c r="AA63" s="3"/>
      <c r="AB63" s="3"/>
    </row>
    <row r="64" spans="1:28" ht="16">
      <c r="A64" s="727">
        <v>2</v>
      </c>
      <c r="B64" s="207">
        <f t="shared" ref="B64:M64" si="7">$M$62</f>
        <v>3100</v>
      </c>
      <c r="C64" s="207">
        <f t="shared" si="7"/>
        <v>3100</v>
      </c>
      <c r="D64" s="207">
        <f t="shared" si="7"/>
        <v>3100</v>
      </c>
      <c r="E64" s="207">
        <f t="shared" si="7"/>
        <v>3100</v>
      </c>
      <c r="F64" s="207">
        <f t="shared" si="7"/>
        <v>3100</v>
      </c>
      <c r="G64" s="207">
        <f t="shared" si="7"/>
        <v>3100</v>
      </c>
      <c r="H64" s="207">
        <f t="shared" si="7"/>
        <v>3100</v>
      </c>
      <c r="I64" s="207">
        <f t="shared" si="7"/>
        <v>3100</v>
      </c>
      <c r="J64" s="207">
        <f t="shared" si="7"/>
        <v>3100</v>
      </c>
      <c r="K64" s="207">
        <f t="shared" si="7"/>
        <v>3100</v>
      </c>
      <c r="L64" s="207">
        <f t="shared" si="7"/>
        <v>3100</v>
      </c>
      <c r="M64" s="726">
        <f t="shared" si="7"/>
        <v>3100</v>
      </c>
      <c r="S64" s="3"/>
      <c r="T64" s="3"/>
      <c r="U64" s="3"/>
      <c r="V64" s="3"/>
      <c r="W64" s="3"/>
      <c r="X64" s="3"/>
      <c r="Y64" s="3"/>
      <c r="Z64" s="3"/>
      <c r="AA64" s="3"/>
      <c r="AB64" s="3"/>
    </row>
    <row r="65" spans="1:28" ht="16">
      <c r="A65" s="727">
        <v>3</v>
      </c>
      <c r="B65" s="207">
        <f t="shared" ref="B65:M65" si="8">$M$62</f>
        <v>3100</v>
      </c>
      <c r="C65" s="207">
        <f t="shared" si="8"/>
        <v>3100</v>
      </c>
      <c r="D65" s="207">
        <f t="shared" si="8"/>
        <v>3100</v>
      </c>
      <c r="E65" s="207">
        <f t="shared" si="8"/>
        <v>3100</v>
      </c>
      <c r="F65" s="207">
        <f t="shared" si="8"/>
        <v>3100</v>
      </c>
      <c r="G65" s="207">
        <f t="shared" si="8"/>
        <v>3100</v>
      </c>
      <c r="H65" s="207">
        <f t="shared" si="8"/>
        <v>3100</v>
      </c>
      <c r="I65" s="207">
        <f t="shared" si="8"/>
        <v>3100</v>
      </c>
      <c r="J65" s="207">
        <f t="shared" si="8"/>
        <v>3100</v>
      </c>
      <c r="K65" s="207">
        <f t="shared" si="8"/>
        <v>3100</v>
      </c>
      <c r="L65" s="207">
        <f t="shared" si="8"/>
        <v>3100</v>
      </c>
      <c r="M65" s="726">
        <f t="shared" si="8"/>
        <v>3100</v>
      </c>
      <c r="S65" s="3"/>
      <c r="T65" s="3"/>
      <c r="U65" s="3"/>
      <c r="V65" s="3"/>
      <c r="W65" s="3"/>
      <c r="X65" s="3"/>
      <c r="Y65" s="3"/>
      <c r="Z65" s="3"/>
      <c r="AA65" s="3"/>
      <c r="AB65" s="3"/>
    </row>
    <row r="66" spans="1:28" ht="16">
      <c r="A66" s="727">
        <v>4</v>
      </c>
      <c r="B66" s="207">
        <f t="shared" ref="B66:M66" si="9">$M$62</f>
        <v>3100</v>
      </c>
      <c r="C66" s="207">
        <f t="shared" si="9"/>
        <v>3100</v>
      </c>
      <c r="D66" s="207">
        <f t="shared" si="9"/>
        <v>3100</v>
      </c>
      <c r="E66" s="207">
        <f t="shared" si="9"/>
        <v>3100</v>
      </c>
      <c r="F66" s="207">
        <f t="shared" si="9"/>
        <v>3100</v>
      </c>
      <c r="G66" s="207">
        <f t="shared" si="9"/>
        <v>3100</v>
      </c>
      <c r="H66" s="207">
        <f t="shared" si="9"/>
        <v>3100</v>
      </c>
      <c r="I66" s="207">
        <f t="shared" si="9"/>
        <v>3100</v>
      </c>
      <c r="J66" s="207">
        <f t="shared" si="9"/>
        <v>3100</v>
      </c>
      <c r="K66" s="207">
        <f t="shared" si="9"/>
        <v>3100</v>
      </c>
      <c r="L66" s="207">
        <f t="shared" si="9"/>
        <v>3100</v>
      </c>
      <c r="M66" s="726">
        <f t="shared" si="9"/>
        <v>3100</v>
      </c>
      <c r="S66" s="3"/>
      <c r="T66" s="3"/>
      <c r="U66" s="3"/>
      <c r="V66" s="3"/>
      <c r="W66" s="3"/>
      <c r="X66" s="3"/>
      <c r="Y66" s="3"/>
      <c r="Z66" s="3"/>
      <c r="AA66" s="3"/>
      <c r="AB66" s="3"/>
    </row>
    <row r="67" spans="1:28" ht="16">
      <c r="A67" s="728">
        <v>5</v>
      </c>
      <c r="B67" s="207">
        <f t="shared" ref="B67:M67" si="10">$M$62</f>
        <v>3100</v>
      </c>
      <c r="C67" s="207">
        <f t="shared" si="10"/>
        <v>3100</v>
      </c>
      <c r="D67" s="207">
        <f t="shared" si="10"/>
        <v>3100</v>
      </c>
      <c r="E67" s="207">
        <f t="shared" si="10"/>
        <v>3100</v>
      </c>
      <c r="F67" s="207">
        <f t="shared" si="10"/>
        <v>3100</v>
      </c>
      <c r="G67" s="207">
        <f t="shared" si="10"/>
        <v>3100</v>
      </c>
      <c r="H67" s="207">
        <f t="shared" si="10"/>
        <v>3100</v>
      </c>
      <c r="I67" s="207">
        <f t="shared" si="10"/>
        <v>3100</v>
      </c>
      <c r="J67" s="207">
        <f t="shared" si="10"/>
        <v>3100</v>
      </c>
      <c r="K67" s="207">
        <f t="shared" si="10"/>
        <v>3100</v>
      </c>
      <c r="L67" s="207">
        <f t="shared" si="10"/>
        <v>3100</v>
      </c>
      <c r="M67" s="726">
        <f t="shared" si="10"/>
        <v>3100</v>
      </c>
      <c r="S67" s="3"/>
      <c r="T67" s="3"/>
      <c r="U67" s="3"/>
      <c r="V67" s="3"/>
      <c r="W67" s="3"/>
      <c r="X67" s="3"/>
      <c r="Y67" s="3"/>
      <c r="Z67" s="3"/>
      <c r="AA67" s="3"/>
      <c r="AB67" s="3"/>
    </row>
    <row r="68" spans="1:28" ht="16">
      <c r="A68" s="1096" t="s">
        <v>737</v>
      </c>
      <c r="B68" s="729"/>
      <c r="C68" s="702"/>
      <c r="D68" s="702"/>
      <c r="E68" s="702"/>
      <c r="F68" s="702"/>
      <c r="G68" s="702"/>
      <c r="H68" s="702"/>
      <c r="I68" s="702"/>
      <c r="J68" s="702"/>
      <c r="K68" s="702"/>
      <c r="L68" s="702"/>
      <c r="M68" s="702"/>
      <c r="S68" s="3"/>
      <c r="T68" s="3"/>
      <c r="U68" s="3"/>
      <c r="V68" s="3"/>
      <c r="W68" s="3"/>
      <c r="X68" s="3"/>
      <c r="Y68" s="3"/>
      <c r="Z68" s="3"/>
      <c r="AA68" s="3"/>
      <c r="AB68" s="3"/>
    </row>
    <row r="69" spans="1:28" ht="16">
      <c r="A69" s="727">
        <v>0</v>
      </c>
      <c r="B69" s="730">
        <f>SUM(L62:M62)</f>
        <v>6200</v>
      </c>
      <c r="C69" s="6"/>
      <c r="D69" s="6"/>
      <c r="E69" s="6"/>
      <c r="F69" s="6"/>
      <c r="G69" s="6"/>
      <c r="H69" s="207"/>
      <c r="I69" s="207"/>
      <c r="J69" s="207"/>
      <c r="K69" s="207"/>
      <c r="L69" s="207"/>
      <c r="M69" s="207"/>
      <c r="O69" s="6"/>
      <c r="P69" s="6"/>
      <c r="Q69" s="6"/>
      <c r="R69" s="3"/>
      <c r="S69" s="3"/>
      <c r="T69" s="3"/>
      <c r="U69" s="3"/>
      <c r="V69" s="3"/>
      <c r="W69" s="3"/>
      <c r="X69" s="3"/>
      <c r="Y69" s="3"/>
      <c r="Z69" s="3"/>
      <c r="AA69" s="3"/>
      <c r="AB69" s="3"/>
    </row>
    <row r="70" spans="1:28" ht="16">
      <c r="A70" s="727">
        <v>1</v>
      </c>
      <c r="B70" s="730">
        <f t="shared" ref="B70:B74" si="11">SUM(B63:M63)</f>
        <v>37200</v>
      </c>
      <c r="C70" s="207"/>
      <c r="D70" s="207"/>
      <c r="E70" s="207"/>
      <c r="F70" s="207"/>
      <c r="G70" s="207"/>
      <c r="H70" s="207"/>
      <c r="I70" s="207"/>
      <c r="J70" s="207"/>
      <c r="K70" s="207"/>
      <c r="L70" s="207"/>
      <c r="M70" s="207"/>
      <c r="O70" s="6"/>
      <c r="P70" s="6"/>
      <c r="Q70" s="6"/>
      <c r="R70" s="3"/>
      <c r="S70" s="3"/>
      <c r="T70" s="3"/>
      <c r="U70" s="3"/>
      <c r="V70" s="3"/>
      <c r="W70" s="3"/>
      <c r="X70" s="3"/>
      <c r="Y70" s="3"/>
      <c r="Z70" s="3"/>
      <c r="AA70" s="3"/>
      <c r="AB70" s="3"/>
    </row>
    <row r="71" spans="1:28" ht="16">
      <c r="A71" s="727">
        <v>2</v>
      </c>
      <c r="B71" s="730">
        <f t="shared" si="11"/>
        <v>37200</v>
      </c>
      <c r="C71" s="207"/>
      <c r="D71" s="207"/>
      <c r="E71" s="207"/>
      <c r="F71" s="207"/>
      <c r="G71" s="207"/>
      <c r="H71" s="207"/>
      <c r="I71" s="207"/>
      <c r="J71" s="207"/>
      <c r="K71" s="207"/>
      <c r="L71" s="207"/>
      <c r="M71" s="207"/>
      <c r="O71" s="6"/>
      <c r="P71" s="6"/>
      <c r="Q71" s="6"/>
      <c r="R71" s="3"/>
      <c r="S71" s="3"/>
      <c r="T71" s="3"/>
      <c r="U71" s="3"/>
      <c r="V71" s="3"/>
      <c r="W71" s="3"/>
      <c r="X71" s="3"/>
      <c r="Y71" s="3"/>
      <c r="Z71" s="3"/>
      <c r="AA71" s="3"/>
      <c r="AB71" s="3"/>
    </row>
    <row r="72" spans="1:28" ht="16">
      <c r="A72" s="727">
        <v>3</v>
      </c>
      <c r="B72" s="730">
        <f t="shared" si="11"/>
        <v>37200</v>
      </c>
      <c r="C72" s="207"/>
      <c r="D72" s="207"/>
      <c r="E72" s="207"/>
      <c r="F72" s="207"/>
      <c r="G72" s="207"/>
      <c r="H72" s="207"/>
      <c r="I72" s="207"/>
      <c r="J72" s="207"/>
      <c r="K72" s="207"/>
      <c r="L72" s="207"/>
      <c r="M72" s="207"/>
      <c r="O72" s="6"/>
      <c r="P72" s="6"/>
      <c r="Q72" s="6"/>
      <c r="R72" s="3"/>
      <c r="S72" s="3"/>
      <c r="T72" s="3"/>
      <c r="U72" s="3"/>
      <c r="V72" s="3"/>
      <c r="W72" s="3"/>
      <c r="X72" s="3"/>
      <c r="Y72" s="3"/>
      <c r="Z72" s="3"/>
      <c r="AA72" s="3"/>
      <c r="AB72" s="3"/>
    </row>
    <row r="73" spans="1:28" ht="16">
      <c r="A73" s="727">
        <v>4</v>
      </c>
      <c r="B73" s="730">
        <f t="shared" si="11"/>
        <v>37200</v>
      </c>
      <c r="C73" s="207"/>
      <c r="D73" s="207"/>
      <c r="E73" s="207"/>
      <c r="F73" s="207"/>
      <c r="G73" s="207"/>
      <c r="H73" s="207"/>
      <c r="I73" s="207"/>
      <c r="J73" s="207"/>
      <c r="K73" s="207"/>
      <c r="L73" s="207"/>
      <c r="M73" s="207"/>
      <c r="O73" s="6"/>
      <c r="P73" s="6"/>
      <c r="Q73" s="6"/>
      <c r="R73" s="3"/>
      <c r="S73" s="3"/>
      <c r="T73" s="3"/>
      <c r="U73" s="3"/>
      <c r="V73" s="3"/>
      <c r="W73" s="3"/>
      <c r="X73" s="3"/>
      <c r="Y73" s="3"/>
      <c r="Z73" s="3"/>
      <c r="AA73" s="3"/>
      <c r="AB73" s="3"/>
    </row>
    <row r="74" spans="1:28" ht="16">
      <c r="A74" s="728">
        <v>5</v>
      </c>
      <c r="B74" s="731">
        <f t="shared" si="11"/>
        <v>37200</v>
      </c>
      <c r="C74" s="207"/>
      <c r="D74" s="207"/>
      <c r="E74" s="207"/>
      <c r="F74" s="207"/>
      <c r="G74" s="207"/>
      <c r="H74" s="207"/>
      <c r="I74" s="207"/>
      <c r="J74" s="207"/>
      <c r="K74" s="207"/>
      <c r="L74" s="207"/>
      <c r="M74" s="207"/>
      <c r="O74" s="6"/>
      <c r="P74" s="6"/>
      <c r="Q74" s="6"/>
      <c r="R74" s="3"/>
      <c r="S74" s="3"/>
      <c r="T74" s="3"/>
      <c r="U74" s="3"/>
      <c r="V74" s="3"/>
      <c r="W74" s="3"/>
      <c r="X74" s="3"/>
      <c r="Y74" s="3"/>
      <c r="Z74" s="3"/>
      <c r="AA74" s="3"/>
      <c r="AB74" s="3"/>
    </row>
    <row r="75" spans="1:28" ht="16">
      <c r="A75" s="6"/>
      <c r="B75" s="6"/>
      <c r="C75" s="207"/>
      <c r="D75" s="207"/>
      <c r="E75" s="207"/>
      <c r="F75" s="207"/>
      <c r="G75" s="207"/>
      <c r="H75" s="207"/>
      <c r="I75" s="207"/>
      <c r="J75" s="207"/>
      <c r="K75" s="207"/>
      <c r="L75" s="207"/>
      <c r="M75" s="207"/>
      <c r="O75" s="6"/>
      <c r="P75" s="6"/>
      <c r="Q75" s="6"/>
      <c r="R75" s="3"/>
      <c r="S75" s="3"/>
      <c r="T75" s="3"/>
      <c r="U75" s="3"/>
      <c r="V75" s="3"/>
      <c r="W75" s="3"/>
      <c r="X75" s="3"/>
      <c r="Y75" s="3"/>
      <c r="Z75" s="3"/>
      <c r="AA75" s="3"/>
      <c r="AB75" s="3"/>
    </row>
    <row r="76" spans="1:28" ht="16">
      <c r="A76" s="1092" t="s">
        <v>738</v>
      </c>
      <c r="B76" s="14" t="s">
        <v>968</v>
      </c>
      <c r="C76" s="1341">
        <v>450</v>
      </c>
      <c r="D76" s="6"/>
      <c r="E76" s="6"/>
      <c r="F76" s="6"/>
      <c r="G76" s="6"/>
      <c r="H76" s="6"/>
      <c r="I76" s="6"/>
      <c r="J76" s="6"/>
      <c r="K76" s="6"/>
      <c r="L76" s="6"/>
      <c r="M76" s="6"/>
      <c r="O76" s="6"/>
      <c r="P76" s="6"/>
      <c r="Q76" s="6"/>
      <c r="R76" s="3"/>
      <c r="S76" s="3"/>
      <c r="T76" s="3"/>
      <c r="U76" s="3"/>
      <c r="V76" s="3"/>
      <c r="W76" s="3"/>
      <c r="X76" s="3"/>
      <c r="Y76" s="3"/>
      <c r="Z76" s="3"/>
      <c r="AA76" s="3"/>
      <c r="AB76" s="3"/>
    </row>
    <row r="77" spans="1:28" ht="16">
      <c r="A77" s="1093" t="s">
        <v>739</v>
      </c>
      <c r="B77" s="1097" t="s">
        <v>727</v>
      </c>
      <c r="C77" s="1097" t="s">
        <v>728</v>
      </c>
      <c r="D77" s="1097" t="s">
        <v>729</v>
      </c>
      <c r="E77" s="1097" t="s">
        <v>730</v>
      </c>
      <c r="F77" s="1097" t="s">
        <v>242</v>
      </c>
      <c r="G77" s="1097" t="s">
        <v>731</v>
      </c>
      <c r="H77" s="1097" t="s">
        <v>244</v>
      </c>
      <c r="I77" s="1097" t="s">
        <v>732</v>
      </c>
      <c r="J77" s="1097" t="s">
        <v>733</v>
      </c>
      <c r="K77" s="1097" t="s">
        <v>734</v>
      </c>
      <c r="L77" s="1097" t="s">
        <v>735</v>
      </c>
      <c r="M77" s="1098" t="s">
        <v>736</v>
      </c>
      <c r="O77" s="6"/>
      <c r="P77" s="6"/>
      <c r="Q77" s="6"/>
      <c r="R77" s="3"/>
      <c r="S77" s="3"/>
      <c r="T77" s="3"/>
      <c r="U77" s="3"/>
      <c r="V77" s="3"/>
      <c r="W77" s="3"/>
      <c r="X77" s="3"/>
      <c r="Y77" s="3"/>
      <c r="Z77" s="3"/>
      <c r="AA77" s="3"/>
      <c r="AB77" s="3"/>
    </row>
    <row r="78" spans="1:28" ht="16">
      <c r="A78" s="725" t="s">
        <v>22</v>
      </c>
      <c r="B78" s="207"/>
      <c r="C78" s="207"/>
      <c r="D78" s="207"/>
      <c r="E78" s="207"/>
      <c r="F78" s="207"/>
      <c r="G78" s="207"/>
      <c r="H78" s="207"/>
      <c r="I78" s="207"/>
      <c r="J78" s="207"/>
      <c r="K78" s="207"/>
      <c r="L78" s="207">
        <f t="shared" ref="L78:M78" si="12">$C$76/12</f>
        <v>37.5</v>
      </c>
      <c r="M78" s="726">
        <f t="shared" si="12"/>
        <v>37.5</v>
      </c>
      <c r="O78" s="6"/>
      <c r="P78" s="6"/>
      <c r="Q78" s="6"/>
      <c r="R78" s="3"/>
      <c r="S78" s="3"/>
      <c r="T78" s="3"/>
      <c r="U78" s="3"/>
      <c r="V78" s="3"/>
      <c r="W78" s="3"/>
      <c r="X78" s="3"/>
      <c r="Y78" s="3"/>
      <c r="Z78" s="3"/>
      <c r="AA78" s="3"/>
      <c r="AB78" s="3"/>
    </row>
    <row r="79" spans="1:28" ht="16">
      <c r="A79" s="727" t="s">
        <v>23</v>
      </c>
      <c r="B79" s="207">
        <f t="shared" ref="B79:M79" si="13">$C$76/12</f>
        <v>37.5</v>
      </c>
      <c r="C79" s="207">
        <f t="shared" si="13"/>
        <v>37.5</v>
      </c>
      <c r="D79" s="207">
        <f t="shared" si="13"/>
        <v>37.5</v>
      </c>
      <c r="E79" s="207">
        <f t="shared" si="13"/>
        <v>37.5</v>
      </c>
      <c r="F79" s="207">
        <f t="shared" si="13"/>
        <v>37.5</v>
      </c>
      <c r="G79" s="207">
        <f t="shared" si="13"/>
        <v>37.5</v>
      </c>
      <c r="H79" s="207">
        <f t="shared" si="13"/>
        <v>37.5</v>
      </c>
      <c r="I79" s="207">
        <f t="shared" si="13"/>
        <v>37.5</v>
      </c>
      <c r="J79" s="207">
        <f t="shared" si="13"/>
        <v>37.5</v>
      </c>
      <c r="K79" s="207">
        <f t="shared" si="13"/>
        <v>37.5</v>
      </c>
      <c r="L79" s="207">
        <f t="shared" si="13"/>
        <v>37.5</v>
      </c>
      <c r="M79" s="726">
        <f t="shared" si="13"/>
        <v>37.5</v>
      </c>
      <c r="O79" s="6"/>
      <c r="P79" s="6"/>
      <c r="Q79" s="6"/>
    </row>
    <row r="80" spans="1:28" ht="16">
      <c r="A80" s="727" t="s">
        <v>24</v>
      </c>
      <c r="B80" s="207">
        <f t="shared" ref="B80:M80" si="14">$C$76/12</f>
        <v>37.5</v>
      </c>
      <c r="C80" s="207">
        <f t="shared" si="14"/>
        <v>37.5</v>
      </c>
      <c r="D80" s="207">
        <f t="shared" si="14"/>
        <v>37.5</v>
      </c>
      <c r="E80" s="207">
        <f t="shared" si="14"/>
        <v>37.5</v>
      </c>
      <c r="F80" s="207">
        <f t="shared" si="14"/>
        <v>37.5</v>
      </c>
      <c r="G80" s="207">
        <f t="shared" si="14"/>
        <v>37.5</v>
      </c>
      <c r="H80" s="207">
        <f t="shared" si="14"/>
        <v>37.5</v>
      </c>
      <c r="I80" s="207">
        <f t="shared" si="14"/>
        <v>37.5</v>
      </c>
      <c r="J80" s="207">
        <f t="shared" si="14"/>
        <v>37.5</v>
      </c>
      <c r="K80" s="207">
        <f t="shared" si="14"/>
        <v>37.5</v>
      </c>
      <c r="L80" s="207">
        <f t="shared" si="14"/>
        <v>37.5</v>
      </c>
      <c r="M80" s="726">
        <f t="shared" si="14"/>
        <v>37.5</v>
      </c>
      <c r="O80" s="6"/>
      <c r="P80" s="6"/>
      <c r="Q80" s="6"/>
    </row>
    <row r="81" spans="1:17" ht="16">
      <c r="A81" s="727" t="s">
        <v>25</v>
      </c>
      <c r="B81" s="207">
        <f t="shared" ref="B81:M81" si="15">$C$76/12</f>
        <v>37.5</v>
      </c>
      <c r="C81" s="207">
        <f t="shared" si="15"/>
        <v>37.5</v>
      </c>
      <c r="D81" s="207">
        <f t="shared" si="15"/>
        <v>37.5</v>
      </c>
      <c r="E81" s="207">
        <f t="shared" si="15"/>
        <v>37.5</v>
      </c>
      <c r="F81" s="207">
        <f t="shared" si="15"/>
        <v>37.5</v>
      </c>
      <c r="G81" s="207">
        <f t="shared" si="15"/>
        <v>37.5</v>
      </c>
      <c r="H81" s="207">
        <f t="shared" si="15"/>
        <v>37.5</v>
      </c>
      <c r="I81" s="207">
        <f t="shared" si="15"/>
        <v>37.5</v>
      </c>
      <c r="J81" s="207">
        <f t="shared" si="15"/>
        <v>37.5</v>
      </c>
      <c r="K81" s="207">
        <f t="shared" si="15"/>
        <v>37.5</v>
      </c>
      <c r="L81" s="207">
        <f t="shared" si="15"/>
        <v>37.5</v>
      </c>
      <c r="M81" s="726">
        <f t="shared" si="15"/>
        <v>37.5</v>
      </c>
      <c r="O81" s="6"/>
      <c r="P81" s="6"/>
      <c r="Q81" s="6"/>
    </row>
    <row r="82" spans="1:17" ht="16">
      <c r="A82" s="727" t="s">
        <v>26</v>
      </c>
      <c r="B82" s="207">
        <f t="shared" ref="B82:M82" si="16">$C$76/12</f>
        <v>37.5</v>
      </c>
      <c r="C82" s="207">
        <f t="shared" si="16"/>
        <v>37.5</v>
      </c>
      <c r="D82" s="207">
        <f t="shared" si="16"/>
        <v>37.5</v>
      </c>
      <c r="E82" s="207">
        <f t="shared" si="16"/>
        <v>37.5</v>
      </c>
      <c r="F82" s="207">
        <f t="shared" si="16"/>
        <v>37.5</v>
      </c>
      <c r="G82" s="207">
        <f t="shared" si="16"/>
        <v>37.5</v>
      </c>
      <c r="H82" s="207">
        <f t="shared" si="16"/>
        <v>37.5</v>
      </c>
      <c r="I82" s="207">
        <f t="shared" si="16"/>
        <v>37.5</v>
      </c>
      <c r="J82" s="207">
        <f t="shared" si="16"/>
        <v>37.5</v>
      </c>
      <c r="K82" s="207">
        <f t="shared" si="16"/>
        <v>37.5</v>
      </c>
      <c r="L82" s="207">
        <f t="shared" si="16"/>
        <v>37.5</v>
      </c>
      <c r="M82" s="726">
        <f t="shared" si="16"/>
        <v>37.5</v>
      </c>
      <c r="O82" s="6"/>
      <c r="P82" s="6"/>
      <c r="Q82" s="6"/>
    </row>
    <row r="83" spans="1:17" ht="16">
      <c r="A83" s="728" t="s">
        <v>27</v>
      </c>
      <c r="B83" s="701">
        <f t="shared" ref="B83:M83" si="17">$C$76/12</f>
        <v>37.5</v>
      </c>
      <c r="C83" s="701">
        <f t="shared" si="17"/>
        <v>37.5</v>
      </c>
      <c r="D83" s="701">
        <f t="shared" si="17"/>
        <v>37.5</v>
      </c>
      <c r="E83" s="701">
        <f t="shared" si="17"/>
        <v>37.5</v>
      </c>
      <c r="F83" s="701">
        <f t="shared" si="17"/>
        <v>37.5</v>
      </c>
      <c r="G83" s="701">
        <f t="shared" si="17"/>
        <v>37.5</v>
      </c>
      <c r="H83" s="701">
        <f t="shared" si="17"/>
        <v>37.5</v>
      </c>
      <c r="I83" s="701">
        <f t="shared" si="17"/>
        <v>37.5</v>
      </c>
      <c r="J83" s="701">
        <f t="shared" si="17"/>
        <v>37.5</v>
      </c>
      <c r="K83" s="701">
        <f t="shared" si="17"/>
        <v>37.5</v>
      </c>
      <c r="L83" s="701">
        <f t="shared" si="17"/>
        <v>37.5</v>
      </c>
      <c r="M83" s="732">
        <f t="shared" si="17"/>
        <v>37.5</v>
      </c>
      <c r="O83" s="6"/>
      <c r="P83" s="6"/>
      <c r="Q83" s="6"/>
    </row>
    <row r="84" spans="1:17" ht="16">
      <c r="A84" s="1096" t="s">
        <v>375</v>
      </c>
      <c r="B84" s="207"/>
      <c r="C84" s="207"/>
      <c r="D84" s="207"/>
      <c r="E84" s="207"/>
      <c r="F84" s="207"/>
      <c r="G84" s="207"/>
      <c r="H84" s="207"/>
      <c r="I84" s="207"/>
      <c r="J84" s="207"/>
      <c r="K84" s="207"/>
      <c r="L84" s="207"/>
      <c r="M84" s="207"/>
      <c r="N84" s="3"/>
      <c r="O84" s="6"/>
      <c r="P84" s="6"/>
      <c r="Q84" s="6"/>
    </row>
    <row r="85" spans="1:17" ht="16">
      <c r="A85" s="725" t="s">
        <v>22</v>
      </c>
      <c r="B85" s="246">
        <f>SUM(L78:M78)</f>
        <v>75</v>
      </c>
      <c r="C85" s="6"/>
      <c r="D85" s="6"/>
      <c r="E85" s="6"/>
      <c r="F85" s="6"/>
      <c r="G85" s="6"/>
      <c r="H85" s="207"/>
      <c r="I85" s="207"/>
      <c r="J85" s="207"/>
      <c r="K85" s="207"/>
      <c r="L85" s="6"/>
      <c r="M85" s="6"/>
      <c r="N85" s="3"/>
      <c r="O85" s="6"/>
      <c r="P85" s="6"/>
      <c r="Q85" s="6"/>
    </row>
    <row r="86" spans="1:17" ht="16">
      <c r="A86" s="727" t="s">
        <v>23</v>
      </c>
      <c r="B86" s="730">
        <f t="shared" ref="B86:B90" si="18">SUM(B79:M79)</f>
        <v>450</v>
      </c>
      <c r="C86" s="207"/>
      <c r="D86" s="207"/>
      <c r="E86" s="207"/>
      <c r="F86" s="207"/>
      <c r="G86" s="207"/>
      <c r="H86" s="207"/>
      <c r="I86" s="207"/>
      <c r="J86" s="207"/>
      <c r="K86" s="207"/>
      <c r="L86" s="6"/>
      <c r="M86" s="6"/>
      <c r="N86" s="3"/>
      <c r="O86" s="6"/>
      <c r="P86" s="6"/>
      <c r="Q86" s="6"/>
    </row>
    <row r="87" spans="1:17" ht="16">
      <c r="A87" s="727" t="s">
        <v>24</v>
      </c>
      <c r="B87" s="730">
        <f t="shared" si="18"/>
        <v>450</v>
      </c>
      <c r="C87" s="207"/>
      <c r="D87" s="207"/>
      <c r="E87" s="207"/>
      <c r="F87" s="207"/>
      <c r="G87" s="207"/>
      <c r="H87" s="207"/>
      <c r="I87" s="207"/>
      <c r="J87" s="207"/>
      <c r="K87" s="207"/>
      <c r="L87" s="6"/>
      <c r="M87" s="6"/>
      <c r="N87" s="3"/>
      <c r="O87" s="6"/>
      <c r="P87" s="6"/>
      <c r="Q87" s="6"/>
    </row>
    <row r="88" spans="1:17" ht="16">
      <c r="A88" s="727" t="s">
        <v>25</v>
      </c>
      <c r="B88" s="730">
        <f t="shared" si="18"/>
        <v>450</v>
      </c>
      <c r="C88" s="207"/>
      <c r="D88" s="207"/>
      <c r="E88" s="207"/>
      <c r="F88" s="207"/>
      <c r="G88" s="207"/>
      <c r="H88" s="207"/>
      <c r="I88" s="207"/>
      <c r="J88" s="207"/>
      <c r="K88" s="207"/>
      <c r="L88" s="6"/>
      <c r="M88" s="6"/>
      <c r="N88" s="3"/>
      <c r="O88" s="6"/>
      <c r="P88" s="6"/>
      <c r="Q88" s="6"/>
    </row>
    <row r="89" spans="1:17" ht="16">
      <c r="A89" s="727" t="s">
        <v>26</v>
      </c>
      <c r="B89" s="730">
        <f t="shared" si="18"/>
        <v>450</v>
      </c>
      <c r="C89" s="207"/>
      <c r="D89" s="207"/>
      <c r="E89" s="207"/>
      <c r="F89" s="207"/>
      <c r="G89" s="207"/>
      <c r="H89" s="207"/>
      <c r="I89" s="207"/>
      <c r="J89" s="207"/>
      <c r="K89" s="207"/>
      <c r="L89" s="6"/>
      <c r="M89" s="6"/>
      <c r="N89" s="3"/>
      <c r="O89" s="6"/>
      <c r="P89" s="6"/>
      <c r="Q89" s="6"/>
    </row>
    <row r="90" spans="1:17" ht="16">
      <c r="A90" s="728" t="s">
        <v>27</v>
      </c>
      <c r="B90" s="731">
        <f t="shared" si="18"/>
        <v>450</v>
      </c>
      <c r="C90" s="207"/>
      <c r="D90" s="207"/>
      <c r="E90" s="207"/>
      <c r="F90" s="207"/>
      <c r="G90" s="207"/>
      <c r="H90" s="207"/>
      <c r="I90" s="207"/>
      <c r="J90" s="207"/>
      <c r="K90" s="207"/>
      <c r="L90" s="6"/>
      <c r="M90" s="6"/>
      <c r="N90" s="3"/>
      <c r="O90" s="6"/>
      <c r="P90" s="6"/>
      <c r="Q90" s="6"/>
    </row>
    <row r="91" spans="1:17" ht="16">
      <c r="N91" s="3"/>
      <c r="O91" s="6"/>
      <c r="P91" s="6"/>
      <c r="Q91" s="6"/>
    </row>
    <row r="92" spans="1:17" ht="16">
      <c r="A92" s="2032"/>
      <c r="B92" s="2032"/>
      <c r="C92" s="2032"/>
      <c r="D92" s="207"/>
      <c r="E92" s="207"/>
      <c r="F92" s="207"/>
      <c r="G92" s="207"/>
      <c r="H92" s="207"/>
      <c r="I92" s="207"/>
      <c r="J92" s="207"/>
      <c r="K92" s="207"/>
      <c r="L92" s="6"/>
      <c r="M92" s="6"/>
      <c r="N92" s="3"/>
      <c r="O92" s="6"/>
      <c r="P92" s="6"/>
      <c r="Q92" s="6"/>
    </row>
    <row r="93" spans="1:17" ht="17" thickBot="1">
      <c r="A93" s="884"/>
      <c r="B93" s="130"/>
      <c r="C93" s="130"/>
      <c r="D93" s="6"/>
      <c r="E93" s="6"/>
      <c r="F93" s="6"/>
      <c r="G93" s="6"/>
      <c r="H93" s="6"/>
      <c r="I93" s="6"/>
      <c r="J93" s="6"/>
      <c r="K93" s="6"/>
      <c r="L93" s="6"/>
      <c r="M93" s="6"/>
      <c r="N93" s="3"/>
      <c r="O93" s="6"/>
      <c r="P93" s="6"/>
      <c r="Q93" s="6"/>
    </row>
    <row r="94" spans="1:17" ht="21" thickBot="1">
      <c r="A94" s="2029" t="s">
        <v>1195</v>
      </c>
      <c r="B94" s="2030"/>
      <c r="C94" s="2031"/>
      <c r="E94" s="6"/>
      <c r="F94" s="6"/>
      <c r="G94" s="6"/>
      <c r="H94" s="6"/>
      <c r="I94" s="6"/>
      <c r="J94" s="6"/>
      <c r="K94" s="6"/>
      <c r="L94" s="6"/>
      <c r="M94" s="6"/>
      <c r="N94" s="6"/>
      <c r="O94" s="6"/>
      <c r="P94" s="6"/>
      <c r="Q94" s="6"/>
    </row>
    <row r="95" spans="1:17" ht="17" thickBot="1">
      <c r="A95" s="1936"/>
      <c r="B95" s="1937" t="s">
        <v>1175</v>
      </c>
      <c r="C95" s="1938" t="s">
        <v>1182</v>
      </c>
      <c r="E95" s="6"/>
      <c r="F95" s="6"/>
      <c r="G95" s="6"/>
      <c r="H95" s="6"/>
      <c r="I95" s="6"/>
      <c r="J95" s="6"/>
      <c r="K95" s="6"/>
      <c r="L95" s="6"/>
      <c r="M95" s="6"/>
      <c r="N95" s="6"/>
      <c r="O95" s="6"/>
      <c r="P95" s="6"/>
      <c r="Q95" s="6"/>
    </row>
    <row r="96" spans="1:17" ht="16">
      <c r="A96" s="1939" t="s">
        <v>1176</v>
      </c>
      <c r="B96" s="1933">
        <v>320</v>
      </c>
      <c r="C96" s="1932" t="s">
        <v>1183</v>
      </c>
      <c r="E96" s="6"/>
      <c r="F96" s="6"/>
      <c r="G96" s="6"/>
      <c r="H96" s="6"/>
      <c r="I96" s="6"/>
      <c r="J96" s="6"/>
      <c r="K96" s="6"/>
      <c r="L96" s="6"/>
      <c r="M96" s="6"/>
      <c r="N96" s="6"/>
      <c r="O96" s="6"/>
      <c r="P96" s="6"/>
      <c r="Q96" s="6"/>
    </row>
    <row r="97" spans="1:17" ht="16">
      <c r="A97" s="1940" t="s">
        <v>1177</v>
      </c>
      <c r="B97" s="1934">
        <v>144</v>
      </c>
      <c r="C97" s="1064" t="s">
        <v>1184</v>
      </c>
      <c r="E97" s="6"/>
      <c r="F97" s="6"/>
      <c r="G97" s="6"/>
      <c r="H97" s="6"/>
      <c r="I97" s="6"/>
      <c r="J97" s="6"/>
      <c r="K97" s="6"/>
      <c r="L97" s="6"/>
      <c r="M97" s="6"/>
      <c r="N97" s="6"/>
      <c r="O97" s="6"/>
      <c r="P97" s="6"/>
      <c r="Q97" s="6"/>
    </row>
    <row r="98" spans="1:17" ht="16">
      <c r="A98" s="1940" t="s">
        <v>1185</v>
      </c>
      <c r="B98" s="1934">
        <v>176</v>
      </c>
      <c r="C98" s="1064" t="s">
        <v>1186</v>
      </c>
      <c r="O98" s="6"/>
      <c r="P98" s="6"/>
      <c r="Q98" s="6"/>
    </row>
    <row r="99" spans="1:17" ht="16">
      <c r="A99" s="1940" t="s">
        <v>1178</v>
      </c>
      <c r="B99" s="1934">
        <v>35.200000000000003</v>
      </c>
      <c r="C99" s="1064" t="s">
        <v>1187</v>
      </c>
      <c r="O99" s="6"/>
      <c r="P99" s="6"/>
      <c r="Q99" s="6"/>
    </row>
    <row r="100" spans="1:17" ht="16">
      <c r="A100" s="1940" t="s">
        <v>1179</v>
      </c>
      <c r="B100" s="1934">
        <v>35.200000000000003</v>
      </c>
      <c r="C100" s="1064" t="s">
        <v>1187</v>
      </c>
      <c r="O100" s="6"/>
      <c r="P100" s="6"/>
      <c r="Q100" s="6"/>
    </row>
    <row r="101" spans="1:17" ht="16">
      <c r="A101" s="1940" t="s">
        <v>1180</v>
      </c>
      <c r="B101" s="1934">
        <v>13.4</v>
      </c>
      <c r="C101" s="1064" t="s">
        <v>1188</v>
      </c>
      <c r="O101" s="6"/>
      <c r="P101" s="6"/>
      <c r="Q101" s="6"/>
    </row>
    <row r="102" spans="1:17" ht="16">
      <c r="A102" s="1940" t="s">
        <v>1181</v>
      </c>
      <c r="B102" s="1934">
        <v>92.2</v>
      </c>
      <c r="C102" s="1064" t="s">
        <v>1189</v>
      </c>
      <c r="E102" s="6"/>
      <c r="F102" s="6"/>
      <c r="G102" s="6"/>
      <c r="H102" s="6"/>
      <c r="I102" s="6"/>
      <c r="J102" s="6"/>
      <c r="K102" s="6"/>
      <c r="L102" s="6"/>
      <c r="M102" s="6"/>
      <c r="N102" s="6"/>
      <c r="O102" s="6"/>
      <c r="P102" s="6"/>
      <c r="Q102" s="6"/>
    </row>
    <row r="103" spans="1:17" ht="16">
      <c r="A103" s="1940" t="s">
        <v>1190</v>
      </c>
      <c r="B103" s="1934">
        <v>55.32</v>
      </c>
      <c r="C103" s="1064" t="s">
        <v>1191</v>
      </c>
      <c r="E103" s="6"/>
      <c r="F103" s="6"/>
      <c r="G103" s="6"/>
      <c r="H103" s="6"/>
      <c r="I103" s="6"/>
      <c r="J103" s="6"/>
      <c r="K103" s="6"/>
      <c r="L103" s="6"/>
      <c r="M103" s="6"/>
      <c r="N103" s="6"/>
      <c r="O103" s="6"/>
      <c r="P103" s="6"/>
      <c r="Q103" s="6"/>
    </row>
    <row r="104" spans="1:17" ht="16">
      <c r="A104" s="1940" t="s">
        <v>1192</v>
      </c>
      <c r="B104" s="1934">
        <v>18.440000000000001</v>
      </c>
      <c r="C104" s="1064" t="s">
        <v>1193</v>
      </c>
      <c r="E104" s="6"/>
      <c r="F104" s="6"/>
      <c r="G104" s="6"/>
      <c r="H104" s="6"/>
      <c r="I104" s="6"/>
      <c r="J104" s="6"/>
      <c r="K104" s="6"/>
      <c r="L104" s="6"/>
      <c r="M104" s="6"/>
      <c r="N104" s="6"/>
      <c r="O104" s="6"/>
      <c r="P104" s="6"/>
      <c r="Q104" s="6"/>
    </row>
    <row r="105" spans="1:17" ht="17" thickBot="1">
      <c r="A105" s="1941" t="s">
        <v>1194</v>
      </c>
      <c r="B105" s="1935">
        <v>18.440000000000001</v>
      </c>
      <c r="C105" s="1065" t="s">
        <v>1193</v>
      </c>
      <c r="E105" s="6"/>
      <c r="F105" s="6"/>
      <c r="G105" s="6"/>
      <c r="H105" s="6"/>
      <c r="I105" s="6"/>
      <c r="J105" s="6"/>
      <c r="K105" s="6"/>
      <c r="L105" s="6"/>
      <c r="M105" s="6"/>
      <c r="N105" s="6"/>
      <c r="O105" s="6"/>
      <c r="P105" s="6"/>
      <c r="Q105" s="6"/>
    </row>
    <row r="106" spans="1:17" ht="17" thickBot="1">
      <c r="D106" s="907"/>
      <c r="E106" s="6"/>
      <c r="F106" s="6"/>
      <c r="G106" s="6"/>
      <c r="H106" s="6"/>
      <c r="I106" s="6"/>
      <c r="J106" s="6"/>
      <c r="K106" s="6"/>
      <c r="L106" s="6"/>
      <c r="M106" s="6"/>
      <c r="N106" s="6"/>
      <c r="O106" s="6"/>
      <c r="P106" s="6"/>
      <c r="Q106" s="6"/>
    </row>
    <row r="107" spans="1:17" ht="21" thickBot="1">
      <c r="A107" s="2029" t="s">
        <v>1197</v>
      </c>
      <c r="B107" s="2030"/>
      <c r="C107" s="2031"/>
      <c r="D107" s="907"/>
      <c r="E107" s="6"/>
      <c r="F107" s="6"/>
      <c r="G107" s="6"/>
      <c r="H107" s="6"/>
      <c r="I107" s="6"/>
      <c r="J107" s="6"/>
      <c r="K107" s="6"/>
      <c r="L107" s="6"/>
      <c r="M107" s="6"/>
      <c r="N107" s="6"/>
      <c r="O107" s="6"/>
      <c r="P107" s="6"/>
      <c r="Q107" s="6"/>
    </row>
    <row r="108" spans="1:17" ht="17" thickBot="1">
      <c r="A108" s="1936"/>
      <c r="B108" s="1937" t="s">
        <v>1175</v>
      </c>
      <c r="C108" s="1938" t="s">
        <v>1196</v>
      </c>
      <c r="D108" s="907"/>
      <c r="E108" s="6"/>
      <c r="F108" s="6"/>
      <c r="G108" s="6"/>
      <c r="H108" s="6"/>
      <c r="I108" s="6"/>
      <c r="J108" s="6"/>
      <c r="K108" s="6"/>
      <c r="L108" s="6"/>
      <c r="M108" s="6"/>
      <c r="N108" s="6"/>
      <c r="O108" s="6"/>
      <c r="P108" s="6"/>
      <c r="Q108" s="6"/>
    </row>
    <row r="109" spans="1:17" ht="16">
      <c r="A109" s="1947" t="s">
        <v>1176</v>
      </c>
      <c r="B109" s="1946">
        <f>'MK Price to Channel'!F40</f>
        <v>269.202</v>
      </c>
      <c r="C109" s="1913" t="s">
        <v>1183</v>
      </c>
      <c r="D109" s="1943"/>
      <c r="E109" s="6"/>
      <c r="F109" s="6"/>
      <c r="G109" s="6"/>
      <c r="H109" s="6"/>
      <c r="I109" s="6"/>
      <c r="J109" s="6"/>
      <c r="K109" s="6"/>
      <c r="L109" s="6"/>
      <c r="M109" s="6"/>
      <c r="N109" s="6"/>
      <c r="O109" s="6"/>
      <c r="P109" s="6"/>
      <c r="Q109" s="6"/>
    </row>
    <row r="110" spans="1:17" ht="16">
      <c r="A110" s="1948" t="s">
        <v>1177</v>
      </c>
      <c r="B110" s="1123">
        <f>B109-B111</f>
        <v>115.06319999999999</v>
      </c>
      <c r="C110" s="1949" t="s">
        <v>1198</v>
      </c>
      <c r="D110" s="1943"/>
      <c r="E110" s="6"/>
      <c r="F110" s="6"/>
      <c r="G110" s="6"/>
      <c r="H110" s="6"/>
      <c r="I110" s="6"/>
      <c r="J110" s="6"/>
      <c r="K110" s="6"/>
      <c r="L110" s="6"/>
      <c r="M110" s="6"/>
      <c r="N110" s="6"/>
      <c r="O110" s="6"/>
      <c r="P110" s="6"/>
      <c r="Q110" s="6"/>
    </row>
    <row r="111" spans="1:17" ht="16">
      <c r="A111" s="1948" t="s">
        <v>1185</v>
      </c>
      <c r="B111" s="1123">
        <f>'MK Price to Channel'!D39</f>
        <v>154.1388</v>
      </c>
      <c r="C111" s="1950" t="s">
        <v>1199</v>
      </c>
      <c r="D111" s="1943"/>
      <c r="E111" s="6"/>
      <c r="F111" s="6"/>
      <c r="G111" s="6"/>
      <c r="H111" s="6"/>
      <c r="I111" s="6"/>
      <c r="J111" s="6"/>
      <c r="K111" s="6"/>
      <c r="L111" s="6"/>
      <c r="M111" s="6"/>
      <c r="N111" s="6"/>
      <c r="O111" s="6"/>
      <c r="P111" s="6"/>
      <c r="Q111" s="6"/>
    </row>
    <row r="112" spans="1:17" ht="16">
      <c r="A112" s="1948" t="s">
        <v>1180</v>
      </c>
      <c r="B112" s="1123">
        <f>B111-SUM(B113:B118)</f>
        <v>19.51700748603082</v>
      </c>
      <c r="C112" s="1950" t="s">
        <v>1200</v>
      </c>
      <c r="D112" s="1943"/>
      <c r="F112" s="6"/>
      <c r="G112" s="6"/>
      <c r="H112" s="6"/>
      <c r="I112" s="6"/>
      <c r="J112" s="6"/>
      <c r="K112" s="6"/>
      <c r="L112" s="6"/>
      <c r="M112" s="6"/>
      <c r="N112" s="6"/>
      <c r="O112" s="6"/>
      <c r="P112" s="6"/>
      <c r="Q112" s="6"/>
    </row>
    <row r="113" spans="1:17" ht="16">
      <c r="A113" s="1948" t="s">
        <v>1178</v>
      </c>
      <c r="B113" s="1944">
        <f>SUM('FE Finance Assumptions'!G48,'FE Finance Assumptions'!G49,'FE Finance Assumptions'!G52)/'MK Bases Model (Base Case)'!F16</f>
        <v>12.750826789158321</v>
      </c>
      <c r="C113" s="1950" t="s">
        <v>1201</v>
      </c>
      <c r="D113" s="1943"/>
      <c r="F113" s="6"/>
      <c r="G113" s="6"/>
      <c r="H113" s="6"/>
      <c r="I113" s="6"/>
      <c r="J113" s="6"/>
      <c r="K113" s="6"/>
      <c r="L113" s="6"/>
      <c r="M113" s="6"/>
      <c r="N113" s="6"/>
      <c r="O113" s="6"/>
      <c r="P113" s="6"/>
      <c r="Q113" s="6"/>
    </row>
    <row r="114" spans="1:17" ht="16">
      <c r="A114" s="1948" t="s">
        <v>1179</v>
      </c>
      <c r="B114" s="1944">
        <f>SUM('FE Finance Assumptions'!G50,'FE Finance Assumptions'!G51)/'MK Bases Model (Base Case)'!F16</f>
        <v>14.286600804870773</v>
      </c>
      <c r="C114" s="1950" t="s">
        <v>1202</v>
      </c>
      <c r="D114" s="1943"/>
      <c r="E114" s="6"/>
      <c r="F114" s="6"/>
      <c r="G114" s="6"/>
      <c r="H114" s="6"/>
      <c r="I114" s="6"/>
      <c r="J114" s="6"/>
      <c r="K114" s="6"/>
      <c r="L114" s="6"/>
      <c r="M114" s="6"/>
      <c r="N114" s="6"/>
      <c r="O114" s="6"/>
      <c r="P114" s="6"/>
      <c r="Q114" s="6"/>
    </row>
    <row r="115" spans="1:17" s="1931" customFormat="1" ht="16">
      <c r="A115" s="1948" t="s">
        <v>400</v>
      </c>
      <c r="B115" s="1123">
        <f>SUM(B116:B118)</f>
        <v>53.792182459970043</v>
      </c>
      <c r="C115" s="1950" t="s">
        <v>1203</v>
      </c>
      <c r="D115" s="1943"/>
      <c r="E115" s="674"/>
      <c r="F115" s="674"/>
      <c r="G115" s="674"/>
      <c r="H115" s="674"/>
      <c r="I115" s="674"/>
      <c r="J115" s="674"/>
      <c r="K115" s="674"/>
      <c r="L115" s="674"/>
      <c r="M115" s="674"/>
      <c r="N115" s="674"/>
      <c r="O115" s="674"/>
      <c r="P115" s="674"/>
      <c r="Q115" s="674"/>
    </row>
    <row r="116" spans="1:17" ht="16">
      <c r="A116" s="1948" t="s">
        <v>1190</v>
      </c>
      <c r="B116" s="1123">
        <f>G41</f>
        <v>38.958200000000005</v>
      </c>
      <c r="C116" s="1950" t="s">
        <v>1204</v>
      </c>
      <c r="D116" s="1943"/>
      <c r="E116" s="6"/>
      <c r="F116" s="6"/>
      <c r="G116" s="6"/>
      <c r="H116" s="6"/>
      <c r="I116" s="6"/>
      <c r="J116" s="6"/>
      <c r="K116" s="6"/>
      <c r="L116" s="6"/>
      <c r="M116" s="6"/>
      <c r="N116" s="6"/>
      <c r="O116" s="6"/>
      <c r="P116" s="6"/>
      <c r="Q116" s="6"/>
    </row>
    <row r="117" spans="1:17" ht="16">
      <c r="A117" s="1948" t="s">
        <v>1192</v>
      </c>
      <c r="B117" s="1945">
        <f>G39</f>
        <v>8.4480012053134779</v>
      </c>
      <c r="C117" s="1950" t="s">
        <v>1205</v>
      </c>
      <c r="D117" s="1943"/>
      <c r="E117" s="6"/>
      <c r="F117" s="6"/>
      <c r="G117" s="6"/>
      <c r="H117" s="6"/>
      <c r="I117" s="6"/>
      <c r="J117" s="6"/>
      <c r="K117" s="6"/>
      <c r="L117" s="6"/>
      <c r="M117" s="6"/>
      <c r="N117" s="6"/>
      <c r="O117" s="6"/>
      <c r="P117" s="6"/>
      <c r="Q117" s="6"/>
    </row>
    <row r="118" spans="1:17" ht="17" thickBot="1">
      <c r="A118" s="1951" t="s">
        <v>1194</v>
      </c>
      <c r="B118" s="1952">
        <f>'OM COGS Yr 0-5'!G55/'MK Bases Model (Base Case)'!F16</f>
        <v>6.3859812546565617</v>
      </c>
      <c r="C118" s="1953" t="s">
        <v>1206</v>
      </c>
      <c r="D118" s="1943"/>
      <c r="E118" s="6"/>
      <c r="F118" s="6"/>
      <c r="G118" s="6"/>
      <c r="H118" s="6"/>
      <c r="I118" s="6"/>
      <c r="J118" s="6"/>
      <c r="K118" s="6"/>
      <c r="L118" s="6"/>
      <c r="M118" s="6"/>
      <c r="N118" s="6"/>
      <c r="O118" s="6"/>
      <c r="P118" s="6"/>
      <c r="Q118" s="6"/>
    </row>
    <row r="119" spans="1:17" ht="16">
      <c r="D119" s="907"/>
      <c r="E119" s="6"/>
      <c r="F119" s="6"/>
      <c r="G119" s="6"/>
      <c r="H119" s="6"/>
      <c r="I119" s="6"/>
      <c r="J119" s="6"/>
      <c r="K119" s="6"/>
      <c r="L119" s="6"/>
      <c r="M119" s="6"/>
      <c r="N119" s="6"/>
      <c r="O119" s="6"/>
      <c r="P119" s="6"/>
      <c r="Q119" s="6"/>
    </row>
    <row r="120" spans="1:17" ht="16">
      <c r="D120" s="907"/>
      <c r="E120" s="6"/>
      <c r="F120" s="6"/>
      <c r="G120" s="6"/>
      <c r="H120" s="6"/>
      <c r="I120" s="6"/>
      <c r="J120" s="6"/>
      <c r="K120" s="6"/>
      <c r="L120" s="6"/>
      <c r="M120" s="6"/>
      <c r="N120" s="6"/>
      <c r="O120" s="6"/>
      <c r="P120" s="6"/>
      <c r="Q120" s="6"/>
    </row>
    <row r="121" spans="1:17" ht="16">
      <c r="D121" s="907"/>
      <c r="E121" s="6"/>
      <c r="F121" s="6"/>
      <c r="G121" s="6"/>
      <c r="H121" s="6"/>
      <c r="I121" s="6"/>
      <c r="J121" s="6"/>
      <c r="K121" s="6"/>
      <c r="L121" s="6"/>
      <c r="M121" s="6"/>
      <c r="N121" s="6"/>
      <c r="O121" s="6"/>
      <c r="P121" s="6"/>
      <c r="Q121" s="6"/>
    </row>
    <row r="122" spans="1:17" ht="16">
      <c r="E122" s="6"/>
      <c r="F122" s="6"/>
      <c r="G122" s="6"/>
      <c r="H122" s="6"/>
      <c r="I122" s="6"/>
      <c r="J122" s="6"/>
      <c r="K122" s="6"/>
      <c r="L122" s="6"/>
      <c r="M122" s="6"/>
      <c r="N122" s="6"/>
      <c r="O122" s="6"/>
      <c r="P122" s="6"/>
      <c r="Q122" s="6"/>
    </row>
    <row r="123" spans="1:17" ht="16">
      <c r="E123" s="6"/>
      <c r="F123" s="6"/>
      <c r="G123" s="6"/>
      <c r="H123" s="6"/>
      <c r="I123" s="6"/>
      <c r="J123" s="6"/>
      <c r="K123" s="6"/>
      <c r="L123" s="6"/>
      <c r="M123" s="6"/>
      <c r="N123" s="6"/>
      <c r="O123" s="6"/>
      <c r="P123" s="6"/>
      <c r="Q123" s="6"/>
    </row>
    <row r="124" spans="1:17" ht="16">
      <c r="E124" s="6"/>
      <c r="F124" s="6"/>
      <c r="G124" s="6"/>
      <c r="H124" s="6"/>
      <c r="I124" s="6"/>
      <c r="J124" s="6"/>
      <c r="K124" s="6"/>
      <c r="L124" s="6"/>
      <c r="M124" s="6"/>
      <c r="N124" s="6"/>
      <c r="O124" s="6"/>
      <c r="P124" s="6"/>
      <c r="Q124" s="6"/>
    </row>
    <row r="125" spans="1:17" ht="16">
      <c r="E125" s="6"/>
      <c r="F125" s="6"/>
      <c r="G125" s="6"/>
      <c r="H125" s="6"/>
      <c r="I125" s="6"/>
      <c r="J125" s="6"/>
      <c r="K125" s="6"/>
      <c r="L125" s="6"/>
      <c r="M125" s="6"/>
      <c r="N125" s="6"/>
      <c r="O125" s="6"/>
      <c r="P125" s="6"/>
      <c r="Q125" s="6"/>
    </row>
    <row r="126" spans="1:17" ht="16">
      <c r="E126" s="6"/>
      <c r="F126" s="6"/>
      <c r="G126" s="6"/>
      <c r="H126" s="6"/>
      <c r="I126" s="6"/>
      <c r="J126" s="6"/>
      <c r="K126" s="6"/>
      <c r="L126" s="6"/>
      <c r="M126" s="6"/>
      <c r="N126" s="6"/>
      <c r="O126" s="6"/>
      <c r="P126" s="6"/>
      <c r="Q126" s="6"/>
    </row>
    <row r="127" spans="1:17" ht="16">
      <c r="E127" s="6"/>
      <c r="F127" s="6"/>
      <c r="G127" s="6"/>
      <c r="H127" s="6"/>
      <c r="I127" s="6"/>
      <c r="J127" s="6"/>
      <c r="K127" s="6"/>
      <c r="L127" s="6"/>
      <c r="M127" s="6"/>
      <c r="N127" s="6"/>
      <c r="O127" s="6"/>
      <c r="P127" s="6"/>
      <c r="Q127" s="6"/>
    </row>
    <row r="128" spans="1:17" ht="16">
      <c r="E128" s="6"/>
      <c r="F128" s="6"/>
      <c r="G128" s="6"/>
      <c r="H128" s="6"/>
      <c r="I128" s="6"/>
      <c r="J128" s="6"/>
      <c r="K128" s="6"/>
      <c r="L128" s="6"/>
      <c r="M128" s="6"/>
      <c r="N128" s="6"/>
      <c r="O128" s="6"/>
      <c r="P128" s="6"/>
      <c r="Q128" s="6"/>
    </row>
    <row r="129" spans="5:17" ht="16">
      <c r="E129" s="6"/>
      <c r="F129" s="6"/>
      <c r="G129" s="6"/>
      <c r="H129" s="6"/>
      <c r="I129" s="6"/>
      <c r="J129" s="6"/>
      <c r="K129" s="6"/>
      <c r="L129" s="6"/>
      <c r="M129" s="6"/>
      <c r="N129" s="6"/>
      <c r="O129" s="6"/>
      <c r="P129" s="6"/>
      <c r="Q129" s="6"/>
    </row>
    <row r="130" spans="5:17" ht="16">
      <c r="E130" s="6"/>
      <c r="F130" s="6"/>
      <c r="G130" s="6"/>
      <c r="H130" s="6"/>
      <c r="I130" s="6"/>
      <c r="J130" s="6"/>
      <c r="K130" s="6"/>
      <c r="L130" s="6"/>
      <c r="M130" s="6"/>
      <c r="N130" s="6"/>
      <c r="O130" s="6"/>
      <c r="P130" s="6"/>
      <c r="Q130" s="6"/>
    </row>
    <row r="131" spans="5:17" ht="16">
      <c r="E131" s="6"/>
      <c r="F131" s="6"/>
      <c r="G131" s="6"/>
      <c r="H131" s="6"/>
      <c r="I131" s="6"/>
      <c r="J131" s="6"/>
      <c r="K131" s="6"/>
      <c r="L131" s="6"/>
      <c r="M131" s="6"/>
      <c r="N131" s="6"/>
      <c r="O131" s="6"/>
      <c r="P131" s="6"/>
      <c r="Q131" s="6"/>
    </row>
    <row r="132" spans="5:17" ht="16">
      <c r="E132" s="6"/>
      <c r="F132" s="6"/>
      <c r="G132" s="6"/>
      <c r="H132" s="6"/>
      <c r="I132" s="6"/>
      <c r="J132" s="6"/>
      <c r="K132" s="6"/>
      <c r="L132" s="6"/>
      <c r="M132" s="6"/>
      <c r="N132" s="6"/>
      <c r="O132" s="6"/>
      <c r="P132" s="6"/>
      <c r="Q132" s="6"/>
    </row>
    <row r="133" spans="5:17" ht="16">
      <c r="E133" s="6"/>
      <c r="F133" s="6"/>
      <c r="G133" s="6"/>
      <c r="H133" s="6"/>
      <c r="I133" s="6"/>
      <c r="J133" s="6"/>
      <c r="K133" s="6"/>
      <c r="L133" s="6"/>
      <c r="M133" s="6"/>
      <c r="N133" s="6"/>
      <c r="O133" s="6"/>
      <c r="P133" s="6"/>
      <c r="Q133" s="6"/>
    </row>
    <row r="134" spans="5:17" ht="16">
      <c r="E134" s="6"/>
      <c r="F134" s="6"/>
      <c r="G134" s="6"/>
      <c r="H134" s="6"/>
      <c r="I134" s="6"/>
      <c r="J134" s="6"/>
      <c r="K134" s="6"/>
      <c r="L134" s="6"/>
      <c r="M134" s="6"/>
      <c r="N134" s="6"/>
      <c r="O134" s="6"/>
      <c r="P134" s="6"/>
      <c r="Q134" s="6"/>
    </row>
    <row r="135" spans="5:17" ht="16">
      <c r="E135" s="6"/>
      <c r="F135" s="6"/>
      <c r="G135" s="6"/>
      <c r="H135" s="6"/>
      <c r="I135" s="6"/>
      <c r="J135" s="6"/>
      <c r="K135" s="6"/>
      <c r="L135" s="6"/>
      <c r="M135" s="6"/>
      <c r="N135" s="6"/>
      <c r="O135" s="6"/>
      <c r="P135" s="6"/>
      <c r="Q135" s="6"/>
    </row>
    <row r="136" spans="5:17" ht="16">
      <c r="E136" s="6"/>
      <c r="F136" s="6"/>
      <c r="G136" s="6"/>
      <c r="H136" s="6"/>
      <c r="I136" s="6"/>
      <c r="J136" s="6"/>
      <c r="K136" s="6"/>
      <c r="L136" s="6"/>
      <c r="M136" s="6"/>
      <c r="N136" s="6"/>
      <c r="O136" s="6"/>
      <c r="P136" s="6"/>
      <c r="Q136" s="6"/>
    </row>
    <row r="137" spans="5:17" ht="16">
      <c r="E137" s="6"/>
      <c r="F137" s="6"/>
      <c r="G137" s="6"/>
      <c r="H137" s="6"/>
      <c r="I137" s="6"/>
      <c r="J137" s="6"/>
      <c r="K137" s="6"/>
      <c r="L137" s="6"/>
      <c r="M137" s="6"/>
      <c r="N137" s="6"/>
      <c r="O137" s="6"/>
      <c r="P137" s="6"/>
      <c r="Q137" s="6"/>
    </row>
    <row r="138" spans="5:17" ht="16">
      <c r="E138" s="6"/>
      <c r="F138" s="6"/>
      <c r="G138" s="6"/>
      <c r="H138" s="6"/>
      <c r="I138" s="6"/>
      <c r="J138" s="6"/>
      <c r="K138" s="6"/>
      <c r="L138" s="6"/>
      <c r="M138" s="6"/>
      <c r="N138" s="6"/>
      <c r="O138" s="6"/>
      <c r="P138" s="6"/>
      <c r="Q138" s="6"/>
    </row>
    <row r="139" spans="5:17" ht="16">
      <c r="E139" s="6"/>
      <c r="F139" s="6"/>
      <c r="G139" s="6"/>
      <c r="H139" s="6"/>
      <c r="I139" s="6"/>
      <c r="J139" s="6"/>
      <c r="K139" s="6"/>
      <c r="L139" s="6"/>
      <c r="M139" s="6"/>
      <c r="N139" s="6"/>
      <c r="O139" s="6"/>
      <c r="P139" s="6"/>
      <c r="Q139" s="6"/>
    </row>
    <row r="140" spans="5:17" ht="16">
      <c r="E140" s="6"/>
      <c r="F140" s="6"/>
      <c r="G140" s="6"/>
      <c r="H140" s="6"/>
      <c r="I140" s="6"/>
      <c r="J140" s="6"/>
      <c r="K140" s="6"/>
      <c r="L140" s="6"/>
      <c r="M140" s="6"/>
      <c r="N140" s="6"/>
      <c r="O140" s="6"/>
      <c r="P140" s="6"/>
      <c r="Q140" s="6"/>
    </row>
    <row r="141" spans="5:17" ht="16">
      <c r="E141" s="6"/>
      <c r="F141" s="6"/>
      <c r="G141" s="6"/>
      <c r="H141" s="6"/>
      <c r="I141" s="6"/>
      <c r="J141" s="6"/>
      <c r="K141" s="6"/>
      <c r="L141" s="6"/>
      <c r="M141" s="6"/>
      <c r="N141" s="6"/>
      <c r="O141" s="6"/>
      <c r="P141" s="6"/>
      <c r="Q141" s="6"/>
    </row>
    <row r="142" spans="5:17" ht="16">
      <c r="E142" s="6"/>
      <c r="F142" s="6"/>
      <c r="G142" s="6"/>
      <c r="H142" s="6"/>
      <c r="I142" s="6"/>
      <c r="J142" s="6"/>
      <c r="K142" s="6"/>
      <c r="L142" s="6"/>
      <c r="M142" s="6"/>
      <c r="N142" s="6"/>
      <c r="O142" s="6"/>
      <c r="P142" s="6"/>
      <c r="Q142" s="6"/>
    </row>
    <row r="143" spans="5:17" ht="16">
      <c r="E143" s="6"/>
      <c r="F143" s="6"/>
      <c r="G143" s="6"/>
      <c r="H143" s="6"/>
      <c r="I143" s="6"/>
      <c r="J143" s="6"/>
      <c r="K143" s="6"/>
      <c r="L143" s="6"/>
      <c r="M143" s="6"/>
      <c r="N143" s="6"/>
      <c r="O143" s="6"/>
      <c r="P143" s="6"/>
      <c r="Q143" s="6"/>
    </row>
    <row r="144" spans="5:17" ht="16">
      <c r="E144" s="6"/>
      <c r="F144" s="6"/>
      <c r="G144" s="6"/>
      <c r="H144" s="6"/>
      <c r="I144" s="6"/>
      <c r="J144" s="6"/>
      <c r="K144" s="6"/>
      <c r="L144" s="6"/>
      <c r="M144" s="6"/>
      <c r="N144" s="6"/>
      <c r="O144" s="6"/>
      <c r="P144" s="6"/>
      <c r="Q144" s="6"/>
    </row>
    <row r="145" spans="5:17" ht="16">
      <c r="E145" s="6"/>
      <c r="F145" s="6"/>
      <c r="G145" s="6"/>
      <c r="H145" s="6"/>
      <c r="I145" s="6"/>
      <c r="J145" s="6"/>
      <c r="K145" s="6"/>
      <c r="L145" s="6"/>
      <c r="M145" s="6"/>
      <c r="N145" s="6"/>
      <c r="O145" s="6"/>
      <c r="P145" s="6"/>
      <c r="Q145" s="6"/>
    </row>
    <row r="146" spans="5:17" ht="16">
      <c r="E146" s="6"/>
      <c r="F146" s="6"/>
      <c r="G146" s="6"/>
      <c r="H146" s="6"/>
      <c r="I146" s="6"/>
      <c r="J146" s="6"/>
      <c r="K146" s="6"/>
      <c r="L146" s="6"/>
      <c r="M146" s="6"/>
      <c r="N146" s="6"/>
      <c r="O146" s="6"/>
      <c r="P146" s="6"/>
      <c r="Q146" s="6"/>
    </row>
    <row r="147" spans="5:17" ht="16">
      <c r="E147" s="6"/>
      <c r="F147" s="6"/>
      <c r="G147" s="6"/>
      <c r="H147" s="6"/>
      <c r="I147" s="6"/>
      <c r="J147" s="6"/>
      <c r="K147" s="6"/>
      <c r="L147" s="6"/>
      <c r="M147" s="6"/>
      <c r="N147" s="6"/>
      <c r="O147" s="6"/>
      <c r="P147" s="6"/>
      <c r="Q147" s="6"/>
    </row>
    <row r="148" spans="5:17" ht="16">
      <c r="E148" s="6"/>
      <c r="F148" s="6"/>
      <c r="G148" s="6"/>
      <c r="H148" s="6"/>
      <c r="I148" s="6"/>
      <c r="J148" s="6"/>
      <c r="K148" s="6"/>
      <c r="L148" s="6"/>
      <c r="M148" s="6"/>
      <c r="N148" s="6"/>
      <c r="O148" s="6"/>
      <c r="P148" s="6"/>
      <c r="Q148" s="6"/>
    </row>
    <row r="149" spans="5:17" ht="16">
      <c r="E149" s="6"/>
      <c r="F149" s="6"/>
      <c r="G149" s="6"/>
      <c r="H149" s="6"/>
      <c r="I149" s="6"/>
      <c r="J149" s="6"/>
      <c r="K149" s="6"/>
      <c r="L149" s="6"/>
      <c r="M149" s="6"/>
      <c r="N149" s="6"/>
      <c r="O149" s="6"/>
      <c r="P149" s="6"/>
      <c r="Q149" s="6"/>
    </row>
    <row r="150" spans="5:17" ht="16">
      <c r="E150" s="6"/>
      <c r="F150" s="6"/>
      <c r="G150" s="6"/>
      <c r="H150" s="6"/>
      <c r="I150" s="6"/>
      <c r="J150" s="6"/>
      <c r="K150" s="6"/>
      <c r="L150" s="6"/>
      <c r="M150" s="6"/>
      <c r="N150" s="6"/>
      <c r="O150" s="6"/>
      <c r="P150" s="6"/>
      <c r="Q150" s="6"/>
    </row>
    <row r="151" spans="5:17" ht="16">
      <c r="E151" s="6"/>
      <c r="F151" s="6"/>
      <c r="G151" s="6"/>
      <c r="H151" s="6"/>
      <c r="I151" s="6"/>
      <c r="J151" s="6"/>
      <c r="K151" s="6"/>
      <c r="L151" s="6"/>
      <c r="M151" s="6"/>
      <c r="N151" s="6"/>
      <c r="O151" s="6"/>
      <c r="P151" s="6"/>
      <c r="Q151" s="6"/>
    </row>
    <row r="152" spans="5:17" ht="16">
      <c r="E152" s="6"/>
      <c r="F152" s="6"/>
      <c r="G152" s="6"/>
      <c r="H152" s="6"/>
      <c r="I152" s="6"/>
      <c r="J152" s="6"/>
      <c r="K152" s="6"/>
      <c r="L152" s="6"/>
      <c r="M152" s="6"/>
      <c r="N152" s="6"/>
      <c r="O152" s="6"/>
      <c r="P152" s="6"/>
      <c r="Q152" s="6"/>
    </row>
    <row r="153" spans="5:17" ht="16">
      <c r="E153" s="6"/>
      <c r="F153" s="6"/>
      <c r="G153" s="6"/>
      <c r="H153" s="6"/>
      <c r="I153" s="6"/>
      <c r="J153" s="6"/>
      <c r="K153" s="6"/>
      <c r="L153" s="6"/>
      <c r="M153" s="6"/>
      <c r="N153" s="6"/>
      <c r="O153" s="6"/>
      <c r="P153" s="6"/>
      <c r="Q153" s="6"/>
    </row>
    <row r="154" spans="5:17" ht="16">
      <c r="E154" s="6"/>
      <c r="F154" s="6"/>
      <c r="G154" s="6"/>
      <c r="H154" s="6"/>
      <c r="I154" s="6"/>
      <c r="J154" s="6"/>
      <c r="K154" s="6"/>
      <c r="L154" s="6"/>
      <c r="M154" s="6"/>
      <c r="N154" s="6"/>
      <c r="O154" s="6"/>
      <c r="P154" s="6"/>
      <c r="Q154" s="6"/>
    </row>
    <row r="155" spans="5:17" ht="16">
      <c r="E155" s="6"/>
      <c r="F155" s="6"/>
      <c r="G155" s="6"/>
      <c r="H155" s="6"/>
      <c r="I155" s="6"/>
      <c r="J155" s="6"/>
      <c r="K155" s="6"/>
      <c r="L155" s="6"/>
      <c r="M155" s="6"/>
      <c r="N155" s="6"/>
      <c r="O155" s="6"/>
      <c r="P155" s="6"/>
      <c r="Q155" s="6"/>
    </row>
    <row r="156" spans="5:17" ht="16">
      <c r="E156" s="6"/>
      <c r="F156" s="6"/>
      <c r="G156" s="6"/>
      <c r="H156" s="6"/>
      <c r="I156" s="6"/>
      <c r="J156" s="6"/>
      <c r="K156" s="6"/>
      <c r="L156" s="6"/>
      <c r="M156" s="6"/>
      <c r="N156" s="6"/>
      <c r="O156" s="6"/>
      <c r="P156" s="6"/>
      <c r="Q156" s="6"/>
    </row>
    <row r="157" spans="5:17" ht="16">
      <c r="E157" s="6"/>
      <c r="F157" s="6"/>
      <c r="G157" s="6"/>
      <c r="H157" s="6"/>
      <c r="I157" s="6"/>
      <c r="J157" s="6"/>
      <c r="K157" s="6"/>
      <c r="L157" s="6"/>
      <c r="M157" s="6"/>
      <c r="N157" s="6"/>
      <c r="O157" s="6"/>
      <c r="P157" s="6"/>
      <c r="Q157" s="6"/>
    </row>
    <row r="158" spans="5:17" ht="16">
      <c r="E158" s="6"/>
      <c r="F158" s="6"/>
      <c r="G158" s="6"/>
      <c r="H158" s="6"/>
      <c r="I158" s="6"/>
      <c r="J158" s="6"/>
      <c r="K158" s="6"/>
      <c r="L158" s="6"/>
      <c r="M158" s="6"/>
      <c r="N158" s="6"/>
      <c r="O158" s="6"/>
      <c r="P158" s="6"/>
      <c r="Q158" s="6"/>
    </row>
    <row r="159" spans="5:17" ht="16">
      <c r="E159" s="6"/>
      <c r="F159" s="6"/>
      <c r="G159" s="6"/>
      <c r="H159" s="6"/>
      <c r="I159" s="6"/>
      <c r="J159" s="6"/>
      <c r="K159" s="6"/>
      <c r="L159" s="6"/>
      <c r="M159" s="6"/>
      <c r="N159" s="6"/>
      <c r="O159" s="6"/>
      <c r="P159" s="6"/>
      <c r="Q159" s="6"/>
    </row>
    <row r="160" spans="5:17" ht="16">
      <c r="E160" s="6"/>
      <c r="F160" s="6"/>
      <c r="G160" s="6"/>
      <c r="H160" s="6"/>
      <c r="I160" s="6"/>
      <c r="J160" s="6"/>
      <c r="K160" s="6"/>
      <c r="L160" s="6"/>
      <c r="M160" s="6"/>
      <c r="N160" s="6"/>
      <c r="O160" s="6"/>
      <c r="P160" s="6"/>
      <c r="Q160" s="6"/>
    </row>
    <row r="161" spans="5:17" ht="16">
      <c r="E161" s="6"/>
      <c r="F161" s="6"/>
      <c r="G161" s="6"/>
      <c r="H161" s="6"/>
      <c r="I161" s="6"/>
      <c r="J161" s="6"/>
      <c r="K161" s="6"/>
      <c r="L161" s="6"/>
      <c r="M161" s="6"/>
      <c r="N161" s="6"/>
      <c r="O161" s="6"/>
      <c r="P161" s="6"/>
      <c r="Q161" s="6"/>
    </row>
    <row r="162" spans="5:17" ht="16">
      <c r="E162" s="6"/>
      <c r="F162" s="6"/>
      <c r="G162" s="6"/>
      <c r="H162" s="6"/>
      <c r="I162" s="6"/>
      <c r="J162" s="6"/>
      <c r="K162" s="6"/>
      <c r="L162" s="6"/>
      <c r="M162" s="6"/>
      <c r="N162" s="6"/>
      <c r="O162" s="6"/>
      <c r="P162" s="6"/>
      <c r="Q162" s="6"/>
    </row>
    <row r="163" spans="5:17" ht="16">
      <c r="E163" s="6"/>
      <c r="F163" s="6"/>
      <c r="G163" s="6"/>
      <c r="H163" s="6"/>
      <c r="I163" s="6"/>
      <c r="J163" s="6"/>
      <c r="K163" s="6"/>
      <c r="L163" s="6"/>
      <c r="M163" s="6"/>
      <c r="N163" s="6"/>
      <c r="O163" s="6"/>
      <c r="P163" s="6"/>
      <c r="Q163" s="6"/>
    </row>
    <row r="164" spans="5:17" ht="16">
      <c r="E164" s="6"/>
      <c r="F164" s="6"/>
      <c r="G164" s="6"/>
      <c r="H164" s="6"/>
      <c r="I164" s="6"/>
      <c r="J164" s="6"/>
      <c r="K164" s="6"/>
      <c r="L164" s="6"/>
      <c r="M164" s="6"/>
      <c r="N164" s="6"/>
      <c r="O164" s="6"/>
      <c r="P164" s="6"/>
      <c r="Q164" s="6"/>
    </row>
    <row r="165" spans="5:17" ht="16">
      <c r="E165" s="6"/>
      <c r="F165" s="6"/>
      <c r="G165" s="6"/>
      <c r="H165" s="6"/>
      <c r="I165" s="6"/>
      <c r="J165" s="6"/>
      <c r="K165" s="6"/>
      <c r="L165" s="6"/>
      <c r="M165" s="6"/>
      <c r="N165" s="6"/>
      <c r="O165" s="6"/>
      <c r="P165" s="6"/>
      <c r="Q165" s="6"/>
    </row>
    <row r="166" spans="5:17" ht="16">
      <c r="E166" s="6"/>
      <c r="F166" s="6"/>
      <c r="G166" s="6"/>
      <c r="H166" s="6"/>
      <c r="I166" s="6"/>
      <c r="J166" s="6"/>
      <c r="K166" s="6"/>
      <c r="L166" s="6"/>
      <c r="M166" s="6"/>
      <c r="N166" s="6"/>
      <c r="O166" s="6"/>
      <c r="P166" s="6"/>
      <c r="Q166" s="6"/>
    </row>
    <row r="167" spans="5:17" ht="16">
      <c r="E167" s="6"/>
      <c r="F167" s="6"/>
      <c r="G167" s="6"/>
      <c r="H167" s="6"/>
      <c r="I167" s="6"/>
      <c r="J167" s="6"/>
      <c r="K167" s="6"/>
      <c r="L167" s="6"/>
      <c r="M167" s="6"/>
      <c r="N167" s="6"/>
      <c r="O167" s="6"/>
      <c r="P167" s="6"/>
      <c r="Q167" s="6"/>
    </row>
    <row r="168" spans="5:17" ht="16">
      <c r="E168" s="6"/>
      <c r="F168" s="6"/>
      <c r="G168" s="6"/>
      <c r="H168" s="6"/>
      <c r="I168" s="6"/>
      <c r="J168" s="6"/>
      <c r="K168" s="6"/>
      <c r="L168" s="6"/>
      <c r="M168" s="6"/>
      <c r="N168" s="6"/>
      <c r="O168" s="6"/>
      <c r="P168" s="6"/>
      <c r="Q168" s="6"/>
    </row>
    <row r="169" spans="5:17" ht="16">
      <c r="E169" s="6"/>
      <c r="F169" s="6"/>
      <c r="G169" s="6"/>
      <c r="H169" s="6"/>
      <c r="I169" s="6"/>
      <c r="J169" s="6"/>
      <c r="K169" s="6"/>
      <c r="L169" s="6"/>
      <c r="M169" s="6"/>
      <c r="N169" s="6"/>
      <c r="O169" s="6"/>
      <c r="P169" s="6"/>
      <c r="Q169" s="6"/>
    </row>
    <row r="170" spans="5:17" ht="16">
      <c r="E170" s="6"/>
      <c r="F170" s="6"/>
      <c r="G170" s="6"/>
      <c r="H170" s="6"/>
      <c r="I170" s="6"/>
      <c r="J170" s="6"/>
      <c r="K170" s="6"/>
      <c r="L170" s="6"/>
      <c r="M170" s="6"/>
      <c r="N170" s="6"/>
      <c r="O170" s="6"/>
      <c r="P170" s="6"/>
      <c r="Q170" s="6"/>
    </row>
    <row r="171" spans="5:17" ht="16">
      <c r="E171" s="6"/>
      <c r="F171" s="6"/>
      <c r="G171" s="6"/>
      <c r="H171" s="6"/>
      <c r="I171" s="6"/>
      <c r="J171" s="6"/>
      <c r="K171" s="6"/>
      <c r="L171" s="6"/>
      <c r="M171" s="6"/>
      <c r="N171" s="6"/>
      <c r="O171" s="6"/>
      <c r="P171" s="6"/>
      <c r="Q171" s="6"/>
    </row>
    <row r="172" spans="5:17" ht="16">
      <c r="E172" s="6"/>
      <c r="F172" s="6"/>
      <c r="G172" s="6"/>
      <c r="H172" s="6"/>
      <c r="I172" s="6"/>
      <c r="J172" s="6"/>
      <c r="K172" s="6"/>
      <c r="L172" s="6"/>
      <c r="M172" s="6"/>
      <c r="N172" s="6"/>
      <c r="O172" s="6"/>
      <c r="P172" s="6"/>
      <c r="Q172" s="6"/>
    </row>
    <row r="173" spans="5:17" ht="16">
      <c r="E173" s="6"/>
      <c r="F173" s="6"/>
      <c r="G173" s="6"/>
      <c r="H173" s="6"/>
      <c r="I173" s="6"/>
      <c r="J173" s="6"/>
      <c r="K173" s="6"/>
      <c r="L173" s="6"/>
      <c r="M173" s="6"/>
      <c r="N173" s="6"/>
      <c r="O173" s="6"/>
      <c r="P173" s="6"/>
      <c r="Q173" s="6"/>
    </row>
    <row r="174" spans="5:17" ht="16">
      <c r="E174" s="6"/>
      <c r="F174" s="6"/>
      <c r="G174" s="6"/>
      <c r="H174" s="6"/>
      <c r="I174" s="6"/>
      <c r="J174" s="6"/>
      <c r="K174" s="6"/>
      <c r="L174" s="6"/>
      <c r="M174" s="6"/>
      <c r="N174" s="6"/>
      <c r="O174" s="6"/>
      <c r="P174" s="6"/>
      <c r="Q174" s="6"/>
    </row>
    <row r="175" spans="5:17" ht="16">
      <c r="E175" s="6"/>
      <c r="F175" s="6"/>
      <c r="G175" s="6"/>
      <c r="H175" s="6"/>
      <c r="I175" s="6"/>
      <c r="J175" s="6"/>
      <c r="K175" s="6"/>
      <c r="L175" s="6"/>
      <c r="M175" s="6"/>
      <c r="N175" s="6"/>
      <c r="O175" s="6"/>
      <c r="P175" s="6"/>
      <c r="Q175" s="6"/>
    </row>
    <row r="176" spans="5:17" ht="16">
      <c r="E176" s="6"/>
      <c r="F176" s="6"/>
      <c r="G176" s="6"/>
      <c r="H176" s="6"/>
      <c r="I176" s="6"/>
      <c r="J176" s="6"/>
      <c r="K176" s="6"/>
      <c r="L176" s="6"/>
      <c r="M176" s="6"/>
      <c r="N176" s="6"/>
      <c r="O176" s="6"/>
      <c r="P176" s="6"/>
      <c r="Q176" s="6"/>
    </row>
    <row r="177" spans="5:17" ht="16">
      <c r="E177" s="6"/>
      <c r="F177" s="6"/>
      <c r="G177" s="6"/>
      <c r="H177" s="6"/>
      <c r="I177" s="6"/>
      <c r="J177" s="6"/>
      <c r="K177" s="6"/>
      <c r="L177" s="6"/>
      <c r="M177" s="6"/>
      <c r="N177" s="6"/>
      <c r="O177" s="6"/>
      <c r="P177" s="6"/>
      <c r="Q177" s="6"/>
    </row>
    <row r="178" spans="5:17" ht="16">
      <c r="E178" s="6"/>
      <c r="F178" s="6"/>
      <c r="G178" s="6"/>
      <c r="H178" s="6"/>
      <c r="I178" s="6"/>
      <c r="J178" s="6"/>
      <c r="K178" s="6"/>
      <c r="L178" s="6"/>
      <c r="M178" s="6"/>
      <c r="N178" s="6"/>
      <c r="O178" s="6"/>
      <c r="P178" s="6"/>
      <c r="Q178" s="6"/>
    </row>
    <row r="179" spans="5:17" ht="16">
      <c r="E179" s="6"/>
      <c r="F179" s="6"/>
      <c r="G179" s="6"/>
      <c r="H179" s="6"/>
      <c r="I179" s="6"/>
      <c r="J179" s="6"/>
      <c r="K179" s="6"/>
      <c r="L179" s="6"/>
      <c r="M179" s="6"/>
      <c r="N179" s="6"/>
      <c r="O179" s="6"/>
      <c r="P179" s="6"/>
      <c r="Q179" s="6"/>
    </row>
    <row r="180" spans="5:17" ht="16">
      <c r="E180" s="6"/>
      <c r="F180" s="6"/>
      <c r="G180" s="6"/>
      <c r="H180" s="6"/>
      <c r="I180" s="6"/>
      <c r="J180" s="6"/>
      <c r="K180" s="6"/>
      <c r="L180" s="6"/>
      <c r="M180" s="6"/>
      <c r="N180" s="6"/>
      <c r="O180" s="6"/>
      <c r="P180" s="6"/>
      <c r="Q180" s="6"/>
    </row>
    <row r="181" spans="5:17" ht="16">
      <c r="E181" s="6"/>
      <c r="F181" s="6"/>
      <c r="G181" s="6"/>
      <c r="H181" s="6"/>
      <c r="I181" s="6"/>
      <c r="J181" s="6"/>
      <c r="K181" s="6"/>
      <c r="L181" s="6"/>
      <c r="M181" s="6"/>
      <c r="N181" s="6"/>
      <c r="O181" s="6"/>
      <c r="P181" s="6"/>
      <c r="Q181" s="6"/>
    </row>
    <row r="182" spans="5:17" ht="16">
      <c r="E182" s="6"/>
      <c r="F182" s="6"/>
      <c r="G182" s="6"/>
      <c r="H182" s="6"/>
      <c r="I182" s="6"/>
      <c r="J182" s="6"/>
      <c r="K182" s="6"/>
      <c r="L182" s="6"/>
      <c r="M182" s="6"/>
      <c r="N182" s="6"/>
      <c r="O182" s="6"/>
      <c r="P182" s="6"/>
      <c r="Q182" s="6"/>
    </row>
    <row r="183" spans="5:17" ht="16">
      <c r="E183" s="6"/>
      <c r="F183" s="6"/>
      <c r="G183" s="6"/>
      <c r="H183" s="6"/>
      <c r="I183" s="6"/>
      <c r="J183" s="6"/>
      <c r="K183" s="6"/>
      <c r="L183" s="6"/>
      <c r="M183" s="6"/>
      <c r="N183" s="6"/>
      <c r="O183" s="6"/>
      <c r="P183" s="6"/>
      <c r="Q183" s="6"/>
    </row>
    <row r="184" spans="5:17" ht="16">
      <c r="E184" s="6"/>
      <c r="F184" s="6"/>
      <c r="G184" s="6"/>
      <c r="H184" s="6"/>
      <c r="I184" s="6"/>
      <c r="J184" s="6"/>
      <c r="K184" s="6"/>
      <c r="L184" s="6"/>
      <c r="M184" s="6"/>
      <c r="N184" s="6"/>
      <c r="O184" s="6"/>
      <c r="P184" s="6"/>
      <c r="Q184" s="6"/>
    </row>
    <row r="185" spans="5:17" ht="16">
      <c r="E185" s="6"/>
      <c r="F185" s="6"/>
      <c r="G185" s="6"/>
      <c r="H185" s="6"/>
      <c r="I185" s="6"/>
      <c r="J185" s="6"/>
      <c r="K185" s="6"/>
      <c r="L185" s="6"/>
      <c r="M185" s="6"/>
      <c r="N185" s="6"/>
      <c r="O185" s="6"/>
      <c r="P185" s="6"/>
      <c r="Q185" s="6"/>
    </row>
    <row r="186" spans="5:17" ht="16">
      <c r="E186" s="6"/>
      <c r="F186" s="6"/>
      <c r="G186" s="6"/>
      <c r="H186" s="6"/>
      <c r="I186" s="6"/>
      <c r="J186" s="6"/>
      <c r="K186" s="6"/>
      <c r="L186" s="6"/>
      <c r="M186" s="6"/>
      <c r="N186" s="6"/>
      <c r="O186" s="6"/>
      <c r="P186" s="6"/>
      <c r="Q186" s="6"/>
    </row>
    <row r="187" spans="5:17" ht="16">
      <c r="E187" s="6"/>
      <c r="F187" s="6"/>
      <c r="G187" s="6"/>
      <c r="H187" s="6"/>
      <c r="I187" s="6"/>
      <c r="J187" s="6"/>
      <c r="K187" s="6"/>
      <c r="L187" s="6"/>
      <c r="M187" s="6"/>
      <c r="N187" s="6"/>
      <c r="O187" s="6"/>
      <c r="P187" s="6"/>
      <c r="Q187" s="6"/>
    </row>
    <row r="188" spans="5:17" ht="16">
      <c r="E188" s="6"/>
      <c r="F188" s="6"/>
      <c r="G188" s="6"/>
      <c r="H188" s="6"/>
      <c r="I188" s="6"/>
      <c r="J188" s="6"/>
      <c r="K188" s="6"/>
      <c r="L188" s="6"/>
      <c r="M188" s="6"/>
      <c r="N188" s="6"/>
      <c r="O188" s="6"/>
      <c r="P188" s="6"/>
      <c r="Q188" s="6"/>
    </row>
    <row r="189" spans="5:17" ht="16">
      <c r="E189" s="6"/>
      <c r="F189" s="6"/>
      <c r="G189" s="6"/>
      <c r="H189" s="6"/>
      <c r="I189" s="6"/>
      <c r="J189" s="6"/>
      <c r="K189" s="6"/>
      <c r="L189" s="6"/>
      <c r="M189" s="6"/>
      <c r="N189" s="6"/>
      <c r="O189" s="6"/>
      <c r="P189" s="6"/>
      <c r="Q189" s="6"/>
    </row>
    <row r="190" spans="5:17" ht="16">
      <c r="E190" s="6"/>
      <c r="F190" s="6"/>
      <c r="G190" s="6"/>
      <c r="H190" s="6"/>
      <c r="I190" s="6"/>
      <c r="J190" s="6"/>
      <c r="K190" s="6"/>
      <c r="L190" s="6"/>
      <c r="M190" s="6"/>
      <c r="N190" s="6"/>
      <c r="O190" s="6"/>
      <c r="P190" s="6"/>
      <c r="Q190" s="6"/>
    </row>
    <row r="191" spans="5:17" ht="16">
      <c r="E191" s="6"/>
      <c r="F191" s="6"/>
      <c r="G191" s="6"/>
      <c r="H191" s="6"/>
      <c r="I191" s="6"/>
      <c r="J191" s="6"/>
      <c r="K191" s="6"/>
      <c r="L191" s="6"/>
      <c r="M191" s="6"/>
      <c r="N191" s="6"/>
      <c r="O191" s="6"/>
      <c r="P191" s="6"/>
      <c r="Q191" s="6"/>
    </row>
    <row r="192" spans="5:17" ht="16">
      <c r="E192" s="6"/>
      <c r="F192" s="6"/>
      <c r="G192" s="6"/>
      <c r="H192" s="6"/>
      <c r="I192" s="6"/>
      <c r="J192" s="6"/>
      <c r="K192" s="6"/>
      <c r="L192" s="6"/>
      <c r="M192" s="6"/>
      <c r="N192" s="6"/>
      <c r="O192" s="6"/>
      <c r="P192" s="6"/>
      <c r="Q192" s="6"/>
    </row>
    <row r="193" spans="5:17" ht="16">
      <c r="E193" s="6"/>
      <c r="F193" s="6"/>
      <c r="G193" s="6"/>
      <c r="H193" s="6"/>
      <c r="I193" s="6"/>
      <c r="J193" s="6"/>
      <c r="K193" s="6"/>
      <c r="L193" s="6"/>
      <c r="M193" s="6"/>
      <c r="N193" s="6"/>
      <c r="O193" s="6"/>
      <c r="P193" s="6"/>
      <c r="Q193" s="6"/>
    </row>
    <row r="194" spans="5:17" ht="16">
      <c r="E194" s="6"/>
      <c r="F194" s="6"/>
      <c r="G194" s="6"/>
      <c r="H194" s="6"/>
      <c r="I194" s="6"/>
      <c r="J194" s="6"/>
      <c r="K194" s="6"/>
      <c r="L194" s="6"/>
      <c r="M194" s="6"/>
      <c r="N194" s="6"/>
      <c r="O194" s="6"/>
      <c r="P194" s="6"/>
      <c r="Q194" s="6"/>
    </row>
    <row r="195" spans="5:17" ht="16">
      <c r="E195" s="6"/>
      <c r="F195" s="6"/>
      <c r="G195" s="6"/>
      <c r="H195" s="6"/>
      <c r="I195" s="6"/>
      <c r="J195" s="6"/>
      <c r="K195" s="6"/>
      <c r="L195" s="6"/>
      <c r="M195" s="6"/>
      <c r="N195" s="6"/>
      <c r="O195" s="6"/>
      <c r="P195" s="6"/>
      <c r="Q195" s="6"/>
    </row>
    <row r="196" spans="5:17" ht="16">
      <c r="E196" s="6"/>
      <c r="F196" s="6"/>
      <c r="G196" s="6"/>
      <c r="H196" s="6"/>
      <c r="I196" s="6"/>
      <c r="J196" s="6"/>
      <c r="K196" s="6"/>
      <c r="L196" s="6"/>
      <c r="M196" s="6"/>
      <c r="N196" s="6"/>
      <c r="O196" s="6"/>
      <c r="P196" s="6"/>
      <c r="Q196" s="6"/>
    </row>
    <row r="197" spans="5:17" ht="16">
      <c r="E197" s="6"/>
      <c r="F197" s="6"/>
      <c r="G197" s="6"/>
      <c r="H197" s="6"/>
      <c r="I197" s="6"/>
      <c r="J197" s="6"/>
      <c r="K197" s="6"/>
      <c r="L197" s="6"/>
      <c r="M197" s="6"/>
      <c r="N197" s="6"/>
      <c r="O197" s="6"/>
      <c r="P197" s="6"/>
      <c r="Q197" s="6"/>
    </row>
    <row r="198" spans="5:17" ht="16">
      <c r="E198" s="6"/>
      <c r="F198" s="6"/>
      <c r="G198" s="6"/>
      <c r="H198" s="6"/>
      <c r="I198" s="6"/>
      <c r="J198" s="6"/>
      <c r="K198" s="6"/>
      <c r="L198" s="6"/>
      <c r="M198" s="6"/>
      <c r="N198" s="6"/>
      <c r="O198" s="6"/>
      <c r="P198" s="6"/>
      <c r="Q198" s="6"/>
    </row>
    <row r="199" spans="5:17" ht="16">
      <c r="E199" s="6"/>
      <c r="F199" s="6"/>
      <c r="G199" s="6"/>
      <c r="H199" s="6"/>
      <c r="I199" s="6"/>
      <c r="J199" s="6"/>
      <c r="K199" s="6"/>
      <c r="L199" s="6"/>
      <c r="M199" s="6"/>
      <c r="N199" s="6"/>
      <c r="O199" s="6"/>
      <c r="P199" s="6"/>
      <c r="Q199" s="6"/>
    </row>
    <row r="200" spans="5:17" ht="16">
      <c r="E200" s="6"/>
      <c r="F200" s="6"/>
      <c r="G200" s="6"/>
      <c r="H200" s="6"/>
      <c r="I200" s="6"/>
      <c r="J200" s="6"/>
      <c r="K200" s="6"/>
      <c r="L200" s="6"/>
      <c r="M200" s="6"/>
      <c r="N200" s="6"/>
      <c r="O200" s="6"/>
      <c r="P200" s="6"/>
      <c r="Q200" s="6"/>
    </row>
    <row r="201" spans="5:17" ht="16">
      <c r="E201" s="6"/>
      <c r="F201" s="6"/>
      <c r="G201" s="6"/>
      <c r="H201" s="6"/>
      <c r="I201" s="6"/>
      <c r="J201" s="6"/>
      <c r="K201" s="6"/>
      <c r="L201" s="6"/>
      <c r="M201" s="6"/>
      <c r="N201" s="6"/>
      <c r="O201" s="6"/>
      <c r="P201" s="6"/>
      <c r="Q201" s="6"/>
    </row>
    <row r="202" spans="5:17" ht="16">
      <c r="E202" s="6"/>
      <c r="F202" s="6"/>
      <c r="G202" s="6"/>
      <c r="H202" s="6"/>
      <c r="I202" s="6"/>
      <c r="J202" s="6"/>
      <c r="K202" s="6"/>
      <c r="L202" s="6"/>
      <c r="M202" s="6"/>
      <c r="N202" s="6"/>
      <c r="O202" s="6"/>
      <c r="P202" s="6"/>
      <c r="Q202" s="6"/>
    </row>
    <row r="203" spans="5:17" ht="16">
      <c r="E203" s="6"/>
      <c r="F203" s="6"/>
      <c r="G203" s="6"/>
      <c r="H203" s="6"/>
      <c r="I203" s="6"/>
      <c r="J203" s="6"/>
      <c r="K203" s="6"/>
      <c r="L203" s="6"/>
      <c r="M203" s="6"/>
      <c r="N203" s="6"/>
      <c r="O203" s="6"/>
      <c r="P203" s="6"/>
      <c r="Q203" s="6"/>
    </row>
    <row r="204" spans="5:17" ht="16">
      <c r="E204" s="6"/>
      <c r="F204" s="6"/>
      <c r="G204" s="6"/>
      <c r="H204" s="6"/>
      <c r="I204" s="6"/>
      <c r="J204" s="6"/>
      <c r="K204" s="6"/>
      <c r="L204" s="6"/>
      <c r="M204" s="6"/>
      <c r="N204" s="6"/>
      <c r="O204" s="6"/>
      <c r="P204" s="6"/>
      <c r="Q204" s="6"/>
    </row>
    <row r="205" spans="5:17" ht="16">
      <c r="E205" s="6"/>
      <c r="F205" s="6"/>
      <c r="G205" s="6"/>
      <c r="H205" s="6"/>
      <c r="I205" s="6"/>
      <c r="J205" s="6"/>
      <c r="K205" s="6"/>
      <c r="L205" s="6"/>
      <c r="M205" s="6"/>
      <c r="N205" s="6"/>
      <c r="O205" s="6"/>
      <c r="P205" s="6"/>
      <c r="Q205" s="6"/>
    </row>
    <row r="206" spans="5:17" ht="16">
      <c r="E206" s="6"/>
      <c r="F206" s="6"/>
      <c r="G206" s="6"/>
      <c r="H206" s="6"/>
      <c r="I206" s="6"/>
      <c r="J206" s="6"/>
      <c r="K206" s="6"/>
      <c r="L206" s="6"/>
      <c r="M206" s="6"/>
      <c r="N206" s="6"/>
      <c r="O206" s="6"/>
      <c r="P206" s="6"/>
      <c r="Q206" s="6"/>
    </row>
    <row r="207" spans="5:17" ht="16">
      <c r="E207" s="6"/>
      <c r="F207" s="6"/>
      <c r="G207" s="6"/>
      <c r="H207" s="6"/>
      <c r="I207" s="6"/>
      <c r="J207" s="6"/>
      <c r="K207" s="6"/>
      <c r="L207" s="6"/>
      <c r="M207" s="6"/>
      <c r="N207" s="6"/>
      <c r="O207" s="6"/>
      <c r="P207" s="6"/>
      <c r="Q207" s="6"/>
    </row>
    <row r="208" spans="5:17" ht="16">
      <c r="E208" s="6"/>
      <c r="F208" s="6"/>
      <c r="G208" s="6"/>
      <c r="H208" s="6"/>
      <c r="I208" s="6"/>
      <c r="J208" s="6"/>
      <c r="K208" s="6"/>
      <c r="L208" s="6"/>
      <c r="M208" s="6"/>
      <c r="N208" s="6"/>
      <c r="O208" s="6"/>
      <c r="P208" s="6"/>
      <c r="Q208" s="6"/>
    </row>
    <row r="209" spans="5:17" ht="16">
      <c r="E209" s="6"/>
      <c r="F209" s="6"/>
      <c r="G209" s="6"/>
      <c r="H209" s="6"/>
      <c r="I209" s="6"/>
      <c r="J209" s="6"/>
      <c r="K209" s="6"/>
      <c r="L209" s="6"/>
      <c r="M209" s="6"/>
      <c r="N209" s="6"/>
      <c r="O209" s="6"/>
      <c r="P209" s="6"/>
      <c r="Q209" s="6"/>
    </row>
    <row r="210" spans="5:17" ht="16">
      <c r="E210" s="6"/>
      <c r="F210" s="6"/>
      <c r="G210" s="6"/>
      <c r="H210" s="6"/>
      <c r="I210" s="6"/>
      <c r="J210" s="6"/>
      <c r="K210" s="6"/>
      <c r="L210" s="6"/>
      <c r="M210" s="6"/>
      <c r="N210" s="6"/>
      <c r="O210" s="6"/>
      <c r="P210" s="6"/>
      <c r="Q210" s="6"/>
    </row>
    <row r="211" spans="5:17" ht="16">
      <c r="E211" s="6"/>
      <c r="F211" s="6"/>
      <c r="G211" s="6"/>
      <c r="H211" s="6"/>
      <c r="I211" s="6"/>
      <c r="J211" s="6"/>
      <c r="K211" s="6"/>
      <c r="L211" s="6"/>
      <c r="M211" s="6"/>
      <c r="N211" s="6"/>
      <c r="O211" s="6"/>
      <c r="P211" s="6"/>
      <c r="Q211" s="6"/>
    </row>
    <row r="212" spans="5:17" ht="16">
      <c r="E212" s="6"/>
      <c r="F212" s="6"/>
      <c r="G212" s="6"/>
      <c r="H212" s="6"/>
      <c r="I212" s="6"/>
      <c r="J212" s="6"/>
      <c r="K212" s="6"/>
      <c r="L212" s="6"/>
      <c r="M212" s="6"/>
      <c r="N212" s="6"/>
      <c r="O212" s="6"/>
      <c r="P212" s="6"/>
      <c r="Q212" s="6"/>
    </row>
    <row r="213" spans="5:17" ht="16">
      <c r="E213" s="6"/>
      <c r="F213" s="6"/>
      <c r="G213" s="6"/>
      <c r="H213" s="6"/>
      <c r="I213" s="6"/>
      <c r="J213" s="6"/>
      <c r="K213" s="6"/>
      <c r="L213" s="6"/>
      <c r="M213" s="6"/>
      <c r="N213" s="6"/>
      <c r="O213" s="6"/>
      <c r="P213" s="6"/>
      <c r="Q213" s="6"/>
    </row>
    <row r="214" spans="5:17" ht="16">
      <c r="E214" s="6"/>
      <c r="F214" s="6"/>
      <c r="G214" s="6"/>
      <c r="H214" s="6"/>
      <c r="I214" s="6"/>
      <c r="J214" s="6"/>
      <c r="K214" s="6"/>
      <c r="L214" s="6"/>
      <c r="M214" s="6"/>
      <c r="N214" s="6"/>
      <c r="O214" s="6"/>
      <c r="P214" s="6"/>
      <c r="Q214" s="6"/>
    </row>
    <row r="215" spans="5:17" ht="16">
      <c r="E215" s="6"/>
      <c r="F215" s="6"/>
      <c r="G215" s="6"/>
      <c r="H215" s="6"/>
      <c r="I215" s="6"/>
      <c r="J215" s="6"/>
      <c r="K215" s="6"/>
      <c r="L215" s="6"/>
      <c r="M215" s="6"/>
      <c r="N215" s="6"/>
      <c r="O215" s="6"/>
      <c r="P215" s="6"/>
      <c r="Q215" s="6"/>
    </row>
    <row r="216" spans="5:17" ht="16">
      <c r="E216" s="6"/>
      <c r="F216" s="6"/>
      <c r="G216" s="6"/>
      <c r="H216" s="6"/>
      <c r="I216" s="6"/>
      <c r="J216" s="6"/>
      <c r="K216" s="6"/>
      <c r="L216" s="6"/>
      <c r="M216" s="6"/>
      <c r="N216" s="6"/>
      <c r="O216" s="6"/>
      <c r="P216" s="6"/>
      <c r="Q216" s="6"/>
    </row>
    <row r="217" spans="5:17" ht="16">
      <c r="E217" s="6"/>
      <c r="F217" s="6"/>
      <c r="G217" s="6"/>
      <c r="H217" s="6"/>
      <c r="I217" s="6"/>
      <c r="J217" s="6"/>
      <c r="K217" s="6"/>
      <c r="L217" s="6"/>
      <c r="M217" s="6"/>
      <c r="N217" s="6"/>
      <c r="O217" s="6"/>
      <c r="P217" s="6"/>
      <c r="Q217" s="6"/>
    </row>
    <row r="218" spans="5:17" ht="16">
      <c r="E218" s="6"/>
      <c r="F218" s="6"/>
      <c r="G218" s="6"/>
      <c r="H218" s="6"/>
      <c r="I218" s="6"/>
      <c r="J218" s="6"/>
      <c r="K218" s="6"/>
      <c r="L218" s="6"/>
      <c r="M218" s="6"/>
      <c r="N218" s="6"/>
      <c r="O218" s="6"/>
      <c r="P218" s="6"/>
      <c r="Q218" s="6"/>
    </row>
    <row r="219" spans="5:17" ht="16">
      <c r="E219" s="6"/>
      <c r="F219" s="6"/>
      <c r="G219" s="6"/>
      <c r="H219" s="6"/>
      <c r="I219" s="6"/>
      <c r="J219" s="6"/>
      <c r="K219" s="6"/>
      <c r="L219" s="6"/>
      <c r="M219" s="6"/>
      <c r="N219" s="6"/>
      <c r="O219" s="6"/>
      <c r="P219" s="6"/>
      <c r="Q219" s="6"/>
    </row>
    <row r="220" spans="5:17" ht="16">
      <c r="E220" s="6"/>
      <c r="F220" s="6"/>
      <c r="G220" s="6"/>
      <c r="H220" s="6"/>
      <c r="I220" s="6"/>
      <c r="J220" s="6"/>
      <c r="K220" s="6"/>
      <c r="L220" s="6"/>
      <c r="M220" s="6"/>
      <c r="N220" s="6"/>
      <c r="O220" s="6"/>
      <c r="P220" s="6"/>
      <c r="Q220" s="6"/>
    </row>
    <row r="221" spans="5:17" ht="16">
      <c r="E221" s="6"/>
      <c r="F221" s="6"/>
      <c r="G221" s="6"/>
      <c r="H221" s="6"/>
      <c r="I221" s="6"/>
      <c r="J221" s="6"/>
      <c r="K221" s="6"/>
      <c r="L221" s="6"/>
      <c r="M221" s="6"/>
      <c r="N221" s="6"/>
      <c r="O221" s="6"/>
      <c r="P221" s="6"/>
      <c r="Q221" s="6"/>
    </row>
    <row r="222" spans="5:17" ht="16">
      <c r="E222" s="6"/>
      <c r="F222" s="6"/>
      <c r="G222" s="6"/>
      <c r="H222" s="6"/>
      <c r="I222" s="6"/>
      <c r="J222" s="6"/>
      <c r="K222" s="6"/>
      <c r="L222" s="6"/>
      <c r="M222" s="6"/>
      <c r="N222" s="6"/>
      <c r="O222" s="6"/>
      <c r="P222" s="6"/>
      <c r="Q222" s="6"/>
    </row>
    <row r="223" spans="5:17" ht="16">
      <c r="E223" s="6"/>
      <c r="F223" s="6"/>
      <c r="G223" s="6"/>
      <c r="H223" s="6"/>
      <c r="I223" s="6"/>
      <c r="J223" s="6"/>
      <c r="K223" s="6"/>
      <c r="L223" s="6"/>
      <c r="M223" s="6"/>
      <c r="N223" s="6"/>
      <c r="O223" s="6"/>
      <c r="P223" s="6"/>
      <c r="Q223" s="6"/>
    </row>
    <row r="224" spans="5:17" ht="16">
      <c r="E224" s="6"/>
      <c r="F224" s="6"/>
      <c r="G224" s="6"/>
      <c r="H224" s="6"/>
      <c r="I224" s="6"/>
      <c r="J224" s="6"/>
      <c r="K224" s="6"/>
      <c r="L224" s="6"/>
      <c r="M224" s="6"/>
      <c r="N224" s="6"/>
      <c r="O224" s="6"/>
      <c r="P224" s="6"/>
      <c r="Q224" s="6"/>
    </row>
    <row r="225" spans="5:17" ht="16">
      <c r="E225" s="6"/>
      <c r="F225" s="6"/>
      <c r="G225" s="6"/>
      <c r="H225" s="6"/>
      <c r="I225" s="6"/>
      <c r="J225" s="6"/>
      <c r="K225" s="6"/>
      <c r="L225" s="6"/>
      <c r="M225" s="6"/>
      <c r="N225" s="6"/>
      <c r="O225" s="6"/>
      <c r="P225" s="6"/>
      <c r="Q225" s="6"/>
    </row>
    <row r="226" spans="5:17" ht="16">
      <c r="E226" s="6"/>
      <c r="F226" s="6"/>
      <c r="G226" s="6"/>
      <c r="H226" s="6"/>
      <c r="I226" s="6"/>
      <c r="J226" s="6"/>
      <c r="K226" s="6"/>
      <c r="L226" s="6"/>
      <c r="M226" s="6"/>
      <c r="N226" s="6"/>
      <c r="O226" s="6"/>
      <c r="P226" s="6"/>
      <c r="Q226" s="6"/>
    </row>
    <row r="227" spans="5:17" ht="16">
      <c r="E227" s="6"/>
      <c r="F227" s="6"/>
      <c r="G227" s="6"/>
      <c r="H227" s="6"/>
      <c r="I227" s="6"/>
      <c r="J227" s="6"/>
      <c r="K227" s="6"/>
      <c r="L227" s="6"/>
      <c r="M227" s="6"/>
      <c r="N227" s="6"/>
      <c r="O227" s="6"/>
      <c r="P227" s="6"/>
      <c r="Q227" s="6"/>
    </row>
    <row r="228" spans="5:17" ht="16">
      <c r="E228" s="6"/>
      <c r="F228" s="6"/>
      <c r="G228" s="6"/>
      <c r="H228" s="6"/>
      <c r="I228" s="6"/>
      <c r="J228" s="6"/>
      <c r="K228" s="6"/>
      <c r="L228" s="6"/>
      <c r="M228" s="6"/>
      <c r="N228" s="6"/>
      <c r="O228" s="6"/>
      <c r="P228" s="6"/>
      <c r="Q228" s="6"/>
    </row>
    <row r="229" spans="5:17" ht="16">
      <c r="E229" s="6"/>
      <c r="F229" s="6"/>
      <c r="G229" s="6"/>
      <c r="H229" s="6"/>
      <c r="I229" s="6"/>
      <c r="J229" s="6"/>
      <c r="K229" s="6"/>
      <c r="L229" s="6"/>
      <c r="M229" s="6"/>
      <c r="N229" s="6"/>
      <c r="O229" s="6"/>
      <c r="P229" s="6"/>
      <c r="Q229" s="6"/>
    </row>
    <row r="230" spans="5:17" ht="16">
      <c r="E230" s="6"/>
      <c r="F230" s="6"/>
      <c r="G230" s="6"/>
      <c r="H230" s="6"/>
      <c r="I230" s="6"/>
      <c r="J230" s="6"/>
      <c r="K230" s="6"/>
      <c r="L230" s="6"/>
      <c r="M230" s="6"/>
      <c r="N230" s="6"/>
      <c r="O230" s="6"/>
      <c r="P230" s="6"/>
      <c r="Q230" s="6"/>
    </row>
    <row r="231" spans="5:17" ht="16">
      <c r="E231" s="6"/>
      <c r="F231" s="6"/>
      <c r="G231" s="6"/>
      <c r="H231" s="6"/>
      <c r="I231" s="6"/>
      <c r="J231" s="6"/>
      <c r="K231" s="6"/>
      <c r="L231" s="6"/>
      <c r="M231" s="6"/>
      <c r="N231" s="6"/>
      <c r="O231" s="6"/>
      <c r="P231" s="6"/>
      <c r="Q231" s="6"/>
    </row>
    <row r="232" spans="5:17" ht="16">
      <c r="E232" s="6"/>
      <c r="F232" s="6"/>
      <c r="G232" s="6"/>
      <c r="H232" s="6"/>
      <c r="I232" s="6"/>
      <c r="J232" s="6"/>
      <c r="K232" s="6"/>
      <c r="L232" s="6"/>
      <c r="M232" s="6"/>
      <c r="N232" s="6"/>
      <c r="O232" s="6"/>
      <c r="P232" s="6"/>
      <c r="Q232" s="6"/>
    </row>
    <row r="233" spans="5:17" ht="16">
      <c r="E233" s="6"/>
      <c r="F233" s="6"/>
      <c r="G233" s="6"/>
      <c r="H233" s="6"/>
      <c r="I233" s="6"/>
      <c r="J233" s="6"/>
      <c r="K233" s="6"/>
      <c r="L233" s="6"/>
      <c r="M233" s="6"/>
      <c r="N233" s="6"/>
      <c r="O233" s="6"/>
      <c r="P233" s="6"/>
      <c r="Q233" s="6"/>
    </row>
    <row r="234" spans="5:17" ht="16">
      <c r="E234" s="6"/>
      <c r="F234" s="6"/>
      <c r="G234" s="6"/>
      <c r="H234" s="6"/>
      <c r="I234" s="6"/>
      <c r="J234" s="6"/>
      <c r="K234" s="6"/>
      <c r="L234" s="6"/>
      <c r="M234" s="6"/>
      <c r="N234" s="6"/>
      <c r="O234" s="6"/>
      <c r="P234" s="6"/>
      <c r="Q234" s="6"/>
    </row>
    <row r="235" spans="5:17" ht="16">
      <c r="E235" s="6"/>
      <c r="F235" s="6"/>
      <c r="G235" s="6"/>
      <c r="H235" s="6"/>
      <c r="I235" s="6"/>
      <c r="J235" s="6"/>
      <c r="K235" s="6"/>
      <c r="L235" s="6"/>
      <c r="M235" s="6"/>
      <c r="N235" s="6"/>
      <c r="O235" s="6"/>
      <c r="P235" s="6"/>
      <c r="Q235" s="6"/>
    </row>
    <row r="236" spans="5:17" ht="16">
      <c r="E236" s="6"/>
      <c r="F236" s="6"/>
      <c r="G236" s="6"/>
      <c r="H236" s="6"/>
      <c r="I236" s="6"/>
      <c r="J236" s="6"/>
      <c r="K236" s="6"/>
      <c r="L236" s="6"/>
      <c r="M236" s="6"/>
      <c r="N236" s="6"/>
      <c r="O236" s="6"/>
      <c r="P236" s="6"/>
      <c r="Q236" s="6"/>
    </row>
    <row r="237" spans="5:17" ht="16">
      <c r="E237" s="6"/>
      <c r="F237" s="6"/>
      <c r="G237" s="6"/>
      <c r="H237" s="6"/>
      <c r="I237" s="6"/>
      <c r="J237" s="6"/>
      <c r="K237" s="6"/>
      <c r="L237" s="6"/>
      <c r="M237" s="6"/>
      <c r="N237" s="6"/>
      <c r="O237" s="6"/>
      <c r="P237" s="6"/>
      <c r="Q237" s="6"/>
    </row>
    <row r="238" spans="5:17" ht="16">
      <c r="E238" s="6"/>
      <c r="F238" s="6"/>
      <c r="G238" s="6"/>
      <c r="H238" s="6"/>
      <c r="I238" s="6"/>
      <c r="J238" s="6"/>
      <c r="K238" s="6"/>
      <c r="L238" s="6"/>
      <c r="M238" s="6"/>
      <c r="N238" s="6"/>
      <c r="O238" s="6"/>
      <c r="P238" s="6"/>
      <c r="Q238" s="6"/>
    </row>
    <row r="239" spans="5:17" ht="16">
      <c r="E239" s="6"/>
      <c r="F239" s="6"/>
      <c r="G239" s="6"/>
      <c r="H239" s="6"/>
      <c r="I239" s="6"/>
      <c r="J239" s="6"/>
      <c r="K239" s="6"/>
      <c r="L239" s="6"/>
      <c r="M239" s="6"/>
      <c r="N239" s="6"/>
      <c r="O239" s="6"/>
      <c r="P239" s="6"/>
      <c r="Q239" s="6"/>
    </row>
    <row r="240" spans="5:17" ht="16">
      <c r="E240" s="6"/>
      <c r="F240" s="6"/>
      <c r="G240" s="6"/>
      <c r="H240" s="6"/>
      <c r="I240" s="6"/>
      <c r="J240" s="6"/>
      <c r="K240" s="6"/>
      <c r="L240" s="6"/>
      <c r="M240" s="6"/>
      <c r="N240" s="6"/>
      <c r="O240" s="6"/>
      <c r="P240" s="6"/>
      <c r="Q240" s="6"/>
    </row>
    <row r="241" spans="5:17" ht="16">
      <c r="E241" s="6"/>
      <c r="F241" s="6"/>
      <c r="G241" s="6"/>
      <c r="H241" s="6"/>
      <c r="I241" s="6"/>
      <c r="J241" s="6"/>
      <c r="K241" s="6"/>
      <c r="L241" s="6"/>
      <c r="M241" s="6"/>
      <c r="N241" s="6"/>
      <c r="O241" s="6"/>
      <c r="P241" s="6"/>
      <c r="Q241" s="6"/>
    </row>
    <row r="242" spans="5:17" ht="16">
      <c r="E242" s="6"/>
      <c r="F242" s="6"/>
      <c r="G242" s="6"/>
      <c r="H242" s="6"/>
      <c r="I242" s="6"/>
      <c r="J242" s="6"/>
      <c r="K242" s="6"/>
      <c r="L242" s="6"/>
      <c r="M242" s="6"/>
      <c r="N242" s="6"/>
      <c r="O242" s="6"/>
      <c r="P242" s="6"/>
      <c r="Q242" s="6"/>
    </row>
    <row r="243" spans="5:17" ht="16">
      <c r="E243" s="6"/>
      <c r="F243" s="6"/>
      <c r="G243" s="6"/>
      <c r="H243" s="6"/>
      <c r="I243" s="6"/>
      <c r="J243" s="6"/>
      <c r="K243" s="6"/>
      <c r="L243" s="6"/>
      <c r="M243" s="6"/>
      <c r="N243" s="6"/>
      <c r="O243" s="6"/>
      <c r="P243" s="6"/>
      <c r="Q243" s="6"/>
    </row>
    <row r="244" spans="5:17" ht="16">
      <c r="E244" s="6"/>
      <c r="F244" s="6"/>
      <c r="G244" s="6"/>
      <c r="H244" s="6"/>
      <c r="I244" s="6"/>
      <c r="J244" s="6"/>
      <c r="K244" s="6"/>
      <c r="L244" s="6"/>
      <c r="M244" s="6"/>
      <c r="N244" s="6"/>
      <c r="O244" s="6"/>
      <c r="P244" s="6"/>
      <c r="Q244" s="6"/>
    </row>
    <row r="245" spans="5:17" ht="16">
      <c r="E245" s="6"/>
      <c r="F245" s="6"/>
      <c r="G245" s="6"/>
      <c r="H245" s="6"/>
      <c r="I245" s="6"/>
      <c r="J245" s="6"/>
      <c r="K245" s="6"/>
      <c r="L245" s="6"/>
      <c r="M245" s="6"/>
      <c r="N245" s="6"/>
      <c r="O245" s="6"/>
      <c r="P245" s="6"/>
      <c r="Q245" s="6"/>
    </row>
    <row r="246" spans="5:17" ht="16">
      <c r="E246" s="6"/>
      <c r="F246" s="6"/>
      <c r="G246" s="6"/>
      <c r="H246" s="6"/>
      <c r="I246" s="6"/>
      <c r="J246" s="6"/>
      <c r="K246" s="6"/>
      <c r="L246" s="6"/>
      <c r="M246" s="6"/>
      <c r="N246" s="6"/>
      <c r="O246" s="6"/>
      <c r="P246" s="6"/>
      <c r="Q246" s="6"/>
    </row>
    <row r="247" spans="5:17" ht="16">
      <c r="E247" s="6"/>
      <c r="F247" s="6"/>
      <c r="G247" s="6"/>
      <c r="H247" s="6"/>
      <c r="I247" s="6"/>
      <c r="J247" s="6"/>
      <c r="K247" s="6"/>
      <c r="L247" s="6"/>
      <c r="M247" s="6"/>
      <c r="N247" s="6"/>
      <c r="O247" s="6"/>
      <c r="P247" s="6"/>
      <c r="Q247" s="6"/>
    </row>
    <row r="248" spans="5:17" ht="16">
      <c r="E248" s="6"/>
      <c r="F248" s="6"/>
      <c r="G248" s="6"/>
      <c r="H248" s="6"/>
      <c r="I248" s="6"/>
      <c r="J248" s="6"/>
      <c r="K248" s="6"/>
      <c r="L248" s="6"/>
      <c r="M248" s="6"/>
      <c r="N248" s="6"/>
      <c r="O248" s="6"/>
      <c r="P248" s="6"/>
      <c r="Q248" s="6"/>
    </row>
    <row r="249" spans="5:17" ht="16">
      <c r="E249" s="6"/>
      <c r="F249" s="6"/>
      <c r="G249" s="6"/>
      <c r="H249" s="6"/>
      <c r="I249" s="6"/>
      <c r="J249" s="6"/>
      <c r="K249" s="6"/>
      <c r="L249" s="6"/>
      <c r="M249" s="6"/>
      <c r="N249" s="6"/>
      <c r="O249" s="6"/>
      <c r="P249" s="6"/>
      <c r="Q249" s="6"/>
    </row>
    <row r="250" spans="5:17" ht="16">
      <c r="E250" s="6"/>
      <c r="F250" s="6"/>
      <c r="G250" s="6"/>
      <c r="H250" s="6"/>
      <c r="I250" s="6"/>
      <c r="J250" s="6"/>
      <c r="K250" s="6"/>
      <c r="L250" s="6"/>
      <c r="M250" s="6"/>
      <c r="N250" s="6"/>
      <c r="O250" s="6"/>
      <c r="P250" s="6"/>
      <c r="Q250" s="6"/>
    </row>
    <row r="251" spans="5:17" ht="16">
      <c r="E251" s="6"/>
      <c r="F251" s="6"/>
      <c r="G251" s="6"/>
      <c r="H251" s="6"/>
      <c r="I251" s="6"/>
      <c r="J251" s="6"/>
      <c r="K251" s="6"/>
      <c r="L251" s="6"/>
      <c r="M251" s="6"/>
      <c r="N251" s="6"/>
      <c r="O251" s="6"/>
      <c r="P251" s="6"/>
      <c r="Q251" s="6"/>
    </row>
    <row r="252" spans="5:17" ht="16">
      <c r="E252" s="6"/>
      <c r="F252" s="6"/>
      <c r="G252" s="6"/>
      <c r="H252" s="6"/>
      <c r="I252" s="6"/>
      <c r="J252" s="6"/>
      <c r="K252" s="6"/>
      <c r="L252" s="6"/>
      <c r="M252" s="6"/>
      <c r="N252" s="6"/>
      <c r="O252" s="6"/>
      <c r="P252" s="6"/>
      <c r="Q252" s="6"/>
    </row>
    <row r="253" spans="5:17" ht="16">
      <c r="E253" s="6"/>
      <c r="F253" s="6"/>
      <c r="G253" s="6"/>
      <c r="H253" s="6"/>
      <c r="I253" s="6"/>
      <c r="J253" s="6"/>
      <c r="K253" s="6"/>
      <c r="L253" s="6"/>
      <c r="M253" s="6"/>
      <c r="N253" s="6"/>
      <c r="O253" s="6"/>
      <c r="P253" s="6"/>
      <c r="Q253" s="6"/>
    </row>
    <row r="254" spans="5:17" ht="16">
      <c r="E254" s="6"/>
      <c r="F254" s="6"/>
      <c r="G254" s="6"/>
      <c r="H254" s="6"/>
      <c r="I254" s="6"/>
      <c r="J254" s="6"/>
      <c r="K254" s="6"/>
      <c r="L254" s="6"/>
      <c r="M254" s="6"/>
      <c r="N254" s="6"/>
      <c r="O254" s="6"/>
      <c r="P254" s="6"/>
      <c r="Q254" s="6"/>
    </row>
    <row r="255" spans="5:17" ht="16">
      <c r="E255" s="6"/>
      <c r="F255" s="6"/>
      <c r="G255" s="6"/>
      <c r="H255" s="6"/>
      <c r="I255" s="6"/>
      <c r="J255" s="6"/>
      <c r="K255" s="6"/>
      <c r="L255" s="6"/>
      <c r="M255" s="6"/>
      <c r="N255" s="6"/>
      <c r="O255" s="6"/>
      <c r="P255" s="6"/>
      <c r="Q255" s="6"/>
    </row>
    <row r="256" spans="5:17" ht="16">
      <c r="E256" s="6"/>
      <c r="F256" s="6"/>
      <c r="G256" s="6"/>
      <c r="H256" s="6"/>
      <c r="I256" s="6"/>
      <c r="J256" s="6"/>
      <c r="K256" s="6"/>
      <c r="L256" s="6"/>
      <c r="M256" s="6"/>
      <c r="N256" s="6"/>
      <c r="O256" s="6"/>
      <c r="P256" s="6"/>
      <c r="Q256" s="6"/>
    </row>
    <row r="257" spans="5:17" ht="16">
      <c r="E257" s="6"/>
      <c r="F257" s="6"/>
      <c r="G257" s="6"/>
      <c r="H257" s="6"/>
      <c r="I257" s="6"/>
      <c r="J257" s="6"/>
      <c r="K257" s="6"/>
      <c r="L257" s="6"/>
      <c r="M257" s="6"/>
      <c r="N257" s="6"/>
      <c r="O257" s="6"/>
      <c r="P257" s="6"/>
      <c r="Q257" s="6"/>
    </row>
    <row r="258" spans="5:17" ht="16">
      <c r="E258" s="6"/>
      <c r="F258" s="6"/>
      <c r="G258" s="6"/>
      <c r="H258" s="6"/>
      <c r="I258" s="6"/>
      <c r="J258" s="6"/>
      <c r="K258" s="6"/>
      <c r="L258" s="6"/>
      <c r="M258" s="6"/>
      <c r="N258" s="6"/>
      <c r="O258" s="6"/>
      <c r="P258" s="6"/>
      <c r="Q258" s="6"/>
    </row>
    <row r="259" spans="5:17" ht="16">
      <c r="E259" s="6"/>
      <c r="F259" s="6"/>
      <c r="G259" s="6"/>
      <c r="H259" s="6"/>
      <c r="I259" s="6"/>
      <c r="J259" s="6"/>
      <c r="K259" s="6"/>
      <c r="L259" s="6"/>
      <c r="M259" s="6"/>
      <c r="N259" s="6"/>
      <c r="O259" s="6"/>
      <c r="P259" s="6"/>
      <c r="Q259" s="6"/>
    </row>
    <row r="260" spans="5:17" ht="16">
      <c r="E260" s="6"/>
      <c r="F260" s="6"/>
      <c r="G260" s="6"/>
      <c r="H260" s="6"/>
      <c r="I260" s="6"/>
      <c r="J260" s="6"/>
      <c r="K260" s="6"/>
      <c r="L260" s="6"/>
      <c r="M260" s="6"/>
      <c r="N260" s="6"/>
      <c r="O260" s="6"/>
      <c r="P260" s="6"/>
      <c r="Q260" s="6"/>
    </row>
    <row r="261" spans="5:17" ht="16">
      <c r="E261" s="6"/>
      <c r="F261" s="6"/>
      <c r="G261" s="6"/>
      <c r="H261" s="6"/>
      <c r="I261" s="6"/>
      <c r="J261" s="6"/>
      <c r="K261" s="6"/>
      <c r="L261" s="6"/>
      <c r="M261" s="6"/>
      <c r="N261" s="6"/>
      <c r="O261" s="6"/>
      <c r="P261" s="6"/>
      <c r="Q261" s="6"/>
    </row>
    <row r="262" spans="5:17" ht="16">
      <c r="E262" s="6"/>
      <c r="F262" s="6"/>
      <c r="G262" s="6"/>
      <c r="H262" s="6"/>
      <c r="I262" s="6"/>
      <c r="J262" s="6"/>
      <c r="K262" s="6"/>
      <c r="L262" s="6"/>
      <c r="M262" s="6"/>
      <c r="N262" s="6"/>
      <c r="O262" s="6"/>
      <c r="P262" s="6"/>
      <c r="Q262" s="6"/>
    </row>
    <row r="263" spans="5:17" ht="16">
      <c r="E263" s="6"/>
      <c r="F263" s="6"/>
      <c r="G263" s="6"/>
      <c r="H263" s="6"/>
      <c r="I263" s="6"/>
      <c r="J263" s="6"/>
      <c r="K263" s="6"/>
      <c r="L263" s="6"/>
      <c r="M263" s="6"/>
      <c r="N263" s="6"/>
      <c r="O263" s="6"/>
      <c r="P263" s="6"/>
      <c r="Q263" s="6"/>
    </row>
    <row r="264" spans="5:17" ht="16">
      <c r="E264" s="6"/>
      <c r="F264" s="6"/>
      <c r="G264" s="6"/>
      <c r="H264" s="6"/>
      <c r="I264" s="6"/>
      <c r="J264" s="6"/>
      <c r="K264" s="6"/>
      <c r="L264" s="6"/>
      <c r="M264" s="6"/>
      <c r="N264" s="6"/>
      <c r="O264" s="6"/>
      <c r="P264" s="6"/>
      <c r="Q264" s="6"/>
    </row>
    <row r="265" spans="5:17" ht="16">
      <c r="E265" s="6"/>
      <c r="F265" s="6"/>
      <c r="G265" s="6"/>
      <c r="H265" s="6"/>
      <c r="I265" s="6"/>
      <c r="J265" s="6"/>
      <c r="K265" s="6"/>
      <c r="L265" s="6"/>
      <c r="M265" s="6"/>
      <c r="N265" s="6"/>
      <c r="O265" s="6"/>
      <c r="P265" s="6"/>
      <c r="Q265" s="6"/>
    </row>
    <row r="266" spans="5:17" ht="16">
      <c r="E266" s="6"/>
      <c r="F266" s="6"/>
      <c r="G266" s="6"/>
      <c r="H266" s="6"/>
      <c r="I266" s="6"/>
      <c r="J266" s="6"/>
      <c r="K266" s="6"/>
      <c r="L266" s="6"/>
      <c r="M266" s="6"/>
      <c r="N266" s="6"/>
      <c r="O266" s="6"/>
      <c r="P266" s="6"/>
      <c r="Q266" s="6"/>
    </row>
    <row r="267" spans="5:17" ht="16">
      <c r="E267" s="6"/>
      <c r="F267" s="6"/>
      <c r="G267" s="6"/>
      <c r="H267" s="6"/>
      <c r="I267" s="6"/>
      <c r="J267" s="6"/>
      <c r="K267" s="6"/>
      <c r="L267" s="6"/>
      <c r="M267" s="6"/>
      <c r="N267" s="6"/>
      <c r="O267" s="6"/>
      <c r="P267" s="6"/>
      <c r="Q267" s="6"/>
    </row>
    <row r="268" spans="5:17" ht="16">
      <c r="E268" s="6"/>
      <c r="F268" s="6"/>
      <c r="G268" s="6"/>
      <c r="H268" s="6"/>
      <c r="I268" s="6"/>
      <c r="J268" s="6"/>
      <c r="K268" s="6"/>
      <c r="L268" s="6"/>
      <c r="M268" s="6"/>
      <c r="N268" s="6"/>
      <c r="O268" s="6"/>
      <c r="P268" s="6"/>
      <c r="Q268" s="6"/>
    </row>
    <row r="269" spans="5:17" ht="16">
      <c r="E269" s="6"/>
      <c r="F269" s="6"/>
      <c r="G269" s="6"/>
      <c r="H269" s="6"/>
      <c r="I269" s="6"/>
      <c r="J269" s="6"/>
      <c r="K269" s="6"/>
      <c r="L269" s="6"/>
      <c r="M269" s="6"/>
      <c r="N269" s="6"/>
      <c r="O269" s="6"/>
      <c r="P269" s="6"/>
      <c r="Q269" s="6"/>
    </row>
    <row r="270" spans="5:17" ht="16">
      <c r="E270" s="6"/>
      <c r="F270" s="6"/>
      <c r="G270" s="6"/>
      <c r="H270" s="6"/>
      <c r="I270" s="6"/>
      <c r="J270" s="6"/>
      <c r="K270" s="6"/>
      <c r="L270" s="6"/>
      <c r="M270" s="6"/>
      <c r="N270" s="6"/>
      <c r="O270" s="6"/>
      <c r="P270" s="6"/>
      <c r="Q270" s="6"/>
    </row>
    <row r="271" spans="5:17" ht="16">
      <c r="E271" s="6"/>
      <c r="F271" s="6"/>
      <c r="G271" s="6"/>
      <c r="H271" s="6"/>
      <c r="I271" s="6"/>
      <c r="J271" s="6"/>
      <c r="K271" s="6"/>
      <c r="L271" s="6"/>
      <c r="M271" s="6"/>
      <c r="N271" s="6"/>
      <c r="O271" s="6"/>
      <c r="P271" s="6"/>
      <c r="Q271" s="6"/>
    </row>
    <row r="272" spans="5:17" ht="16">
      <c r="E272" s="6"/>
      <c r="F272" s="6"/>
      <c r="G272" s="6"/>
      <c r="H272" s="6"/>
      <c r="I272" s="6"/>
      <c r="J272" s="6"/>
      <c r="K272" s="6"/>
      <c r="L272" s="6"/>
      <c r="M272" s="6"/>
      <c r="N272" s="6"/>
      <c r="O272" s="6"/>
      <c r="P272" s="6"/>
      <c r="Q272" s="6"/>
    </row>
    <row r="273" spans="5:17" ht="16">
      <c r="E273" s="6"/>
      <c r="F273" s="6"/>
      <c r="G273" s="6"/>
      <c r="H273" s="6"/>
      <c r="I273" s="6"/>
      <c r="J273" s="6"/>
      <c r="K273" s="6"/>
      <c r="L273" s="6"/>
      <c r="M273" s="6"/>
      <c r="N273" s="6"/>
      <c r="O273" s="6"/>
      <c r="P273" s="6"/>
      <c r="Q273" s="6"/>
    </row>
    <row r="274" spans="5:17" ht="16">
      <c r="E274" s="6"/>
      <c r="F274" s="6"/>
      <c r="G274" s="6"/>
      <c r="H274" s="6"/>
      <c r="I274" s="6"/>
      <c r="J274" s="6"/>
      <c r="K274" s="6"/>
      <c r="L274" s="6"/>
      <c r="M274" s="6"/>
      <c r="N274" s="6"/>
      <c r="O274" s="6"/>
      <c r="P274" s="6"/>
      <c r="Q274" s="6"/>
    </row>
    <row r="275" spans="5:17" ht="16">
      <c r="E275" s="6"/>
      <c r="F275" s="6"/>
      <c r="G275" s="6"/>
      <c r="H275" s="6"/>
      <c r="I275" s="6"/>
      <c r="J275" s="6"/>
      <c r="K275" s="6"/>
      <c r="L275" s="6"/>
      <c r="M275" s="6"/>
      <c r="N275" s="6"/>
      <c r="O275" s="6"/>
      <c r="P275" s="6"/>
      <c r="Q275" s="6"/>
    </row>
    <row r="276" spans="5:17" ht="16">
      <c r="E276" s="6"/>
      <c r="F276" s="6"/>
      <c r="G276" s="6"/>
      <c r="H276" s="6"/>
      <c r="I276" s="6"/>
      <c r="J276" s="6"/>
      <c r="K276" s="6"/>
      <c r="L276" s="6"/>
      <c r="M276" s="6"/>
      <c r="N276" s="6"/>
      <c r="O276" s="6"/>
      <c r="P276" s="6"/>
      <c r="Q276" s="6"/>
    </row>
    <row r="277" spans="5:17" ht="16">
      <c r="E277" s="6"/>
      <c r="F277" s="6"/>
      <c r="G277" s="6"/>
      <c r="H277" s="6"/>
      <c r="I277" s="6"/>
      <c r="J277" s="6"/>
      <c r="K277" s="6"/>
      <c r="L277" s="6"/>
      <c r="M277" s="6"/>
      <c r="N277" s="6"/>
      <c r="O277" s="6"/>
      <c r="P277" s="6"/>
      <c r="Q277" s="6"/>
    </row>
    <row r="278" spans="5:17" ht="16">
      <c r="E278" s="6"/>
      <c r="F278" s="6"/>
      <c r="G278" s="6"/>
      <c r="H278" s="6"/>
      <c r="I278" s="6"/>
      <c r="J278" s="6"/>
      <c r="K278" s="6"/>
      <c r="L278" s="6"/>
      <c r="M278" s="6"/>
      <c r="N278" s="6"/>
      <c r="O278" s="6"/>
      <c r="P278" s="6"/>
      <c r="Q278" s="6"/>
    </row>
    <row r="279" spans="5:17" ht="16">
      <c r="E279" s="6"/>
      <c r="F279" s="6"/>
      <c r="G279" s="6"/>
      <c r="H279" s="6"/>
      <c r="I279" s="6"/>
      <c r="J279" s="6"/>
      <c r="K279" s="6"/>
      <c r="L279" s="6"/>
      <c r="M279" s="6"/>
      <c r="N279" s="6"/>
      <c r="O279" s="6"/>
      <c r="P279" s="6"/>
      <c r="Q279" s="6"/>
    </row>
    <row r="280" spans="5:17" ht="16">
      <c r="E280" s="6"/>
      <c r="F280" s="6"/>
      <c r="G280" s="6"/>
      <c r="H280" s="6"/>
      <c r="I280" s="6"/>
      <c r="J280" s="6"/>
      <c r="K280" s="6"/>
      <c r="L280" s="6"/>
      <c r="M280" s="6"/>
      <c r="N280" s="6"/>
      <c r="O280" s="6"/>
      <c r="P280" s="6"/>
      <c r="Q280" s="6"/>
    </row>
    <row r="281" spans="5:17" ht="16">
      <c r="E281" s="6"/>
      <c r="F281" s="6"/>
      <c r="G281" s="6"/>
      <c r="H281" s="6"/>
      <c r="I281" s="6"/>
      <c r="J281" s="6"/>
      <c r="K281" s="6"/>
      <c r="L281" s="6"/>
      <c r="M281" s="6"/>
      <c r="N281" s="6"/>
      <c r="O281" s="6"/>
      <c r="P281" s="6"/>
      <c r="Q281" s="6"/>
    </row>
    <row r="282" spans="5:17" ht="16">
      <c r="E282" s="6"/>
      <c r="F282" s="6"/>
      <c r="G282" s="6"/>
      <c r="H282" s="6"/>
      <c r="I282" s="6"/>
      <c r="J282" s="6"/>
      <c r="K282" s="6"/>
      <c r="L282" s="6"/>
      <c r="M282" s="6"/>
      <c r="N282" s="6"/>
      <c r="O282" s="6"/>
      <c r="P282" s="6"/>
      <c r="Q282" s="6"/>
    </row>
    <row r="283" spans="5:17" ht="16">
      <c r="E283" s="6"/>
      <c r="F283" s="6"/>
      <c r="G283" s="6"/>
      <c r="H283" s="6"/>
      <c r="I283" s="6"/>
      <c r="J283" s="6"/>
      <c r="K283" s="6"/>
      <c r="L283" s="6"/>
      <c r="M283" s="6"/>
      <c r="N283" s="6"/>
      <c r="O283" s="6"/>
      <c r="P283" s="6"/>
      <c r="Q283" s="6"/>
    </row>
    <row r="284" spans="5:17" ht="16">
      <c r="E284" s="6"/>
      <c r="F284" s="6"/>
      <c r="G284" s="6"/>
      <c r="H284" s="6"/>
      <c r="I284" s="6"/>
      <c r="J284" s="6"/>
      <c r="K284" s="6"/>
      <c r="L284" s="6"/>
      <c r="M284" s="6"/>
      <c r="N284" s="6"/>
      <c r="O284" s="6"/>
      <c r="P284" s="6"/>
      <c r="Q284" s="6"/>
    </row>
    <row r="285" spans="5:17" ht="16">
      <c r="E285" s="6"/>
      <c r="F285" s="6"/>
      <c r="G285" s="6"/>
      <c r="H285" s="6"/>
      <c r="I285" s="6"/>
      <c r="J285" s="6"/>
      <c r="K285" s="6"/>
      <c r="L285" s="6"/>
      <c r="M285" s="6"/>
      <c r="N285" s="6"/>
      <c r="O285" s="6"/>
      <c r="P285" s="6"/>
      <c r="Q285" s="6"/>
    </row>
    <row r="286" spans="5:17" ht="16">
      <c r="E286" s="6"/>
      <c r="F286" s="6"/>
      <c r="G286" s="6"/>
      <c r="H286" s="6"/>
      <c r="I286" s="6"/>
      <c r="J286" s="6"/>
      <c r="K286" s="6"/>
      <c r="L286" s="6"/>
      <c r="M286" s="6"/>
      <c r="N286" s="6"/>
      <c r="O286" s="6"/>
      <c r="P286" s="6"/>
      <c r="Q286" s="6"/>
    </row>
    <row r="287" spans="5:17" ht="16">
      <c r="E287" s="6"/>
      <c r="F287" s="6"/>
      <c r="G287" s="6"/>
      <c r="H287" s="6"/>
      <c r="I287" s="6"/>
      <c r="J287" s="6"/>
      <c r="K287" s="6"/>
      <c r="L287" s="6"/>
      <c r="M287" s="6"/>
      <c r="N287" s="6"/>
      <c r="O287" s="6"/>
      <c r="P287" s="6"/>
      <c r="Q287" s="6"/>
    </row>
    <row r="288" spans="5:17" ht="16">
      <c r="E288" s="6"/>
      <c r="F288" s="6"/>
      <c r="G288" s="6"/>
      <c r="H288" s="6"/>
      <c r="I288" s="6"/>
      <c r="J288" s="6"/>
      <c r="K288" s="6"/>
      <c r="L288" s="6"/>
      <c r="M288" s="6"/>
      <c r="N288" s="6"/>
      <c r="O288" s="6"/>
      <c r="P288" s="6"/>
      <c r="Q288" s="6"/>
    </row>
    <row r="289" spans="5:17" ht="16">
      <c r="E289" s="6"/>
      <c r="F289" s="6"/>
      <c r="G289" s="6"/>
      <c r="H289" s="6"/>
      <c r="I289" s="6"/>
      <c r="J289" s="6"/>
      <c r="K289" s="6"/>
      <c r="L289" s="6"/>
      <c r="M289" s="6"/>
      <c r="N289" s="6"/>
      <c r="O289" s="6"/>
      <c r="P289" s="6"/>
      <c r="Q289" s="6"/>
    </row>
    <row r="290" spans="5:17" ht="16">
      <c r="E290" s="6"/>
      <c r="F290" s="6"/>
      <c r="G290" s="6"/>
      <c r="H290" s="6"/>
      <c r="I290" s="6"/>
      <c r="J290" s="6"/>
      <c r="K290" s="6"/>
      <c r="L290" s="6"/>
      <c r="M290" s="6"/>
      <c r="N290" s="6"/>
      <c r="O290" s="6"/>
      <c r="P290" s="6"/>
      <c r="Q290" s="6"/>
    </row>
    <row r="291" spans="5:17" ht="16">
      <c r="E291" s="6"/>
      <c r="F291" s="6"/>
      <c r="G291" s="6"/>
      <c r="H291" s="6"/>
      <c r="I291" s="6"/>
      <c r="J291" s="6"/>
      <c r="K291" s="6"/>
      <c r="L291" s="6"/>
      <c r="M291" s="6"/>
      <c r="N291" s="6"/>
      <c r="O291" s="6"/>
      <c r="P291" s="6"/>
      <c r="Q291" s="6"/>
    </row>
    <row r="292" spans="5:17" ht="16">
      <c r="E292" s="6"/>
      <c r="F292" s="6"/>
      <c r="G292" s="6"/>
      <c r="H292" s="6"/>
      <c r="I292" s="6"/>
      <c r="J292" s="6"/>
      <c r="K292" s="6"/>
      <c r="L292" s="6"/>
      <c r="M292" s="6"/>
      <c r="N292" s="6"/>
      <c r="O292" s="6"/>
      <c r="P292" s="6"/>
      <c r="Q292" s="6"/>
    </row>
    <row r="293" spans="5:17" ht="16">
      <c r="E293" s="6"/>
      <c r="F293" s="6"/>
      <c r="G293" s="6"/>
      <c r="H293" s="6"/>
      <c r="I293" s="6"/>
      <c r="J293" s="6"/>
      <c r="K293" s="6"/>
      <c r="L293" s="6"/>
      <c r="M293" s="6"/>
      <c r="N293" s="6"/>
      <c r="O293" s="6"/>
      <c r="P293" s="6"/>
      <c r="Q293" s="6"/>
    </row>
    <row r="294" spans="5:17" ht="16">
      <c r="E294" s="6"/>
      <c r="F294" s="6"/>
      <c r="G294" s="6"/>
      <c r="H294" s="6"/>
      <c r="I294" s="6"/>
      <c r="J294" s="6"/>
      <c r="K294" s="6"/>
      <c r="L294" s="6"/>
      <c r="M294" s="6"/>
      <c r="N294" s="6"/>
      <c r="O294" s="6"/>
      <c r="P294" s="6"/>
      <c r="Q294" s="6"/>
    </row>
    <row r="295" spans="5:17" ht="16">
      <c r="E295" s="6"/>
      <c r="F295" s="6"/>
      <c r="G295" s="6"/>
      <c r="H295" s="6"/>
      <c r="I295" s="6"/>
      <c r="J295" s="6"/>
      <c r="K295" s="6"/>
      <c r="L295" s="6"/>
      <c r="M295" s="6"/>
      <c r="N295" s="6"/>
      <c r="O295" s="6"/>
      <c r="P295" s="6"/>
      <c r="Q295" s="6"/>
    </row>
    <row r="296" spans="5:17" ht="16">
      <c r="E296" s="6"/>
      <c r="F296" s="6"/>
      <c r="G296" s="6"/>
      <c r="H296" s="6"/>
      <c r="I296" s="6"/>
      <c r="J296" s="6"/>
      <c r="K296" s="6"/>
      <c r="L296" s="6"/>
      <c r="M296" s="6"/>
      <c r="N296" s="6"/>
      <c r="O296" s="6"/>
      <c r="P296" s="6"/>
      <c r="Q296" s="6"/>
    </row>
    <row r="297" spans="5:17" ht="16">
      <c r="E297" s="6"/>
      <c r="F297" s="6"/>
      <c r="G297" s="6"/>
      <c r="H297" s="6"/>
      <c r="I297" s="6"/>
      <c r="J297" s="6"/>
      <c r="K297" s="6"/>
      <c r="L297" s="6"/>
      <c r="M297" s="6"/>
      <c r="N297" s="6"/>
      <c r="O297" s="6"/>
      <c r="P297" s="6"/>
      <c r="Q297" s="6"/>
    </row>
    <row r="298" spans="5:17" ht="16">
      <c r="E298" s="6"/>
      <c r="F298" s="6"/>
      <c r="G298" s="6"/>
      <c r="H298" s="6"/>
      <c r="I298" s="6"/>
      <c r="J298" s="6"/>
      <c r="K298" s="6"/>
      <c r="L298" s="6"/>
      <c r="M298" s="6"/>
      <c r="N298" s="6"/>
      <c r="O298" s="6"/>
      <c r="P298" s="6"/>
      <c r="Q298" s="6"/>
    </row>
    <row r="299" spans="5:17" ht="16">
      <c r="E299" s="6"/>
      <c r="F299" s="6"/>
      <c r="G299" s="6"/>
      <c r="H299" s="6"/>
      <c r="I299" s="6"/>
      <c r="J299" s="6"/>
      <c r="K299" s="6"/>
      <c r="L299" s="6"/>
      <c r="M299" s="6"/>
      <c r="N299" s="6"/>
      <c r="O299" s="6"/>
      <c r="P299" s="6"/>
      <c r="Q299" s="6"/>
    </row>
    <row r="300" spans="5:17" ht="16">
      <c r="E300" s="6"/>
      <c r="F300" s="6"/>
      <c r="G300" s="6"/>
      <c r="H300" s="6"/>
      <c r="I300" s="6"/>
      <c r="J300" s="6"/>
      <c r="K300" s="6"/>
      <c r="L300" s="6"/>
      <c r="M300" s="6"/>
      <c r="N300" s="6"/>
      <c r="O300" s="6"/>
      <c r="P300" s="6"/>
      <c r="Q300" s="6"/>
    </row>
    <row r="301" spans="5:17" ht="16">
      <c r="E301" s="6"/>
      <c r="F301" s="6"/>
      <c r="G301" s="6"/>
      <c r="H301" s="6"/>
      <c r="I301" s="6"/>
      <c r="J301" s="6"/>
      <c r="K301" s="6"/>
      <c r="L301" s="6"/>
      <c r="M301" s="6"/>
      <c r="N301" s="6"/>
      <c r="O301" s="6"/>
      <c r="P301" s="6"/>
      <c r="Q301" s="6"/>
    </row>
    <row r="302" spans="5:17" ht="16">
      <c r="E302" s="6"/>
      <c r="F302" s="6"/>
      <c r="G302" s="6"/>
      <c r="H302" s="6"/>
      <c r="I302" s="6"/>
      <c r="J302" s="6"/>
      <c r="K302" s="6"/>
      <c r="L302" s="6"/>
      <c r="M302" s="6"/>
      <c r="N302" s="6"/>
      <c r="O302" s="6"/>
      <c r="P302" s="6"/>
      <c r="Q302" s="6"/>
    </row>
    <row r="303" spans="5:17" ht="16">
      <c r="E303" s="6"/>
      <c r="F303" s="6"/>
      <c r="G303" s="6"/>
      <c r="H303" s="6"/>
      <c r="I303" s="6"/>
      <c r="J303" s="6"/>
      <c r="K303" s="6"/>
      <c r="L303" s="6"/>
      <c r="M303" s="6"/>
      <c r="N303" s="6"/>
      <c r="O303" s="6"/>
      <c r="P303" s="6"/>
      <c r="Q303" s="6"/>
    </row>
    <row r="304" spans="5:17" ht="16">
      <c r="E304" s="6"/>
      <c r="F304" s="6"/>
      <c r="G304" s="6"/>
      <c r="H304" s="6"/>
      <c r="I304" s="6"/>
      <c r="J304" s="6"/>
      <c r="K304" s="6"/>
      <c r="L304" s="6"/>
      <c r="M304" s="6"/>
      <c r="N304" s="6"/>
      <c r="O304" s="6"/>
      <c r="P304" s="6"/>
      <c r="Q304" s="6"/>
    </row>
    <row r="305" spans="5:17" ht="16">
      <c r="E305" s="6"/>
      <c r="F305" s="6"/>
      <c r="G305" s="6"/>
      <c r="H305" s="6"/>
      <c r="I305" s="6"/>
      <c r="J305" s="6"/>
      <c r="K305" s="6"/>
      <c r="L305" s="6"/>
      <c r="M305" s="6"/>
      <c r="N305" s="6"/>
      <c r="O305" s="6"/>
      <c r="P305" s="6"/>
      <c r="Q305" s="6"/>
    </row>
    <row r="306" spans="5:17" ht="16">
      <c r="E306" s="6"/>
      <c r="F306" s="6"/>
      <c r="G306" s="6"/>
      <c r="H306" s="6"/>
      <c r="I306" s="6"/>
      <c r="J306" s="6"/>
      <c r="K306" s="6"/>
      <c r="L306" s="6"/>
      <c r="M306" s="6"/>
      <c r="N306" s="6"/>
      <c r="O306" s="6"/>
      <c r="P306" s="6"/>
      <c r="Q306" s="6"/>
    </row>
    <row r="307" spans="5:17" ht="16">
      <c r="E307" s="6"/>
      <c r="F307" s="6"/>
      <c r="G307" s="6"/>
      <c r="H307" s="6"/>
      <c r="I307" s="6"/>
      <c r="J307" s="6"/>
      <c r="K307" s="6"/>
      <c r="L307" s="6"/>
      <c r="M307" s="6"/>
      <c r="N307" s="6"/>
      <c r="O307" s="6"/>
      <c r="P307" s="6"/>
      <c r="Q307" s="6"/>
    </row>
    <row r="308" spans="5:17" ht="16">
      <c r="E308" s="6"/>
      <c r="F308" s="6"/>
      <c r="G308" s="6"/>
      <c r="H308" s="6"/>
      <c r="I308" s="6"/>
      <c r="J308" s="6"/>
      <c r="K308" s="6"/>
      <c r="L308" s="6"/>
      <c r="M308" s="6"/>
      <c r="N308" s="6"/>
      <c r="O308" s="6"/>
      <c r="P308" s="6"/>
      <c r="Q308" s="6"/>
    </row>
    <row r="309" spans="5:17" ht="16">
      <c r="E309" s="6"/>
      <c r="F309" s="6"/>
      <c r="G309" s="6"/>
      <c r="H309" s="6"/>
      <c r="I309" s="6"/>
      <c r="J309" s="6"/>
      <c r="K309" s="6"/>
      <c r="L309" s="6"/>
      <c r="M309" s="6"/>
      <c r="N309" s="6"/>
      <c r="O309" s="6"/>
      <c r="P309" s="6"/>
      <c r="Q309" s="6"/>
    </row>
    <row r="310" spans="5:17" ht="16">
      <c r="E310" s="6"/>
      <c r="F310" s="6"/>
      <c r="G310" s="6"/>
      <c r="H310" s="6"/>
      <c r="I310" s="6"/>
      <c r="J310" s="6"/>
      <c r="K310" s="6"/>
      <c r="L310" s="6"/>
      <c r="M310" s="6"/>
      <c r="N310" s="6"/>
      <c r="O310" s="6"/>
      <c r="P310" s="6"/>
      <c r="Q310" s="6"/>
    </row>
    <row r="311" spans="5:17" ht="16">
      <c r="E311" s="6"/>
      <c r="F311" s="6"/>
      <c r="G311" s="6"/>
      <c r="H311" s="6"/>
      <c r="I311" s="6"/>
      <c r="J311" s="6"/>
      <c r="K311" s="6"/>
      <c r="L311" s="6"/>
      <c r="M311" s="6"/>
      <c r="N311" s="6"/>
      <c r="O311" s="6"/>
      <c r="P311" s="6"/>
      <c r="Q311" s="6"/>
    </row>
    <row r="312" spans="5:17" ht="16">
      <c r="E312" s="6"/>
      <c r="F312" s="6"/>
      <c r="G312" s="6"/>
      <c r="H312" s="6"/>
      <c r="I312" s="6"/>
      <c r="J312" s="6"/>
      <c r="K312" s="6"/>
      <c r="L312" s="6"/>
      <c r="M312" s="6"/>
      <c r="N312" s="6"/>
      <c r="O312" s="6"/>
      <c r="P312" s="6"/>
      <c r="Q312" s="6"/>
    </row>
    <row r="313" spans="5:17" ht="16">
      <c r="E313" s="6"/>
      <c r="F313" s="6"/>
      <c r="G313" s="6"/>
      <c r="H313" s="6"/>
      <c r="I313" s="6"/>
      <c r="J313" s="6"/>
      <c r="K313" s="6"/>
      <c r="L313" s="6"/>
      <c r="M313" s="6"/>
      <c r="N313" s="6"/>
      <c r="O313" s="6"/>
      <c r="P313" s="6"/>
      <c r="Q313" s="6"/>
    </row>
    <row r="314" spans="5:17" ht="16">
      <c r="E314" s="6"/>
      <c r="F314" s="6"/>
      <c r="G314" s="6"/>
      <c r="H314" s="6"/>
      <c r="I314" s="6"/>
      <c r="J314" s="6"/>
      <c r="K314" s="6"/>
      <c r="L314" s="6"/>
      <c r="M314" s="6"/>
      <c r="N314" s="6"/>
      <c r="O314" s="6"/>
      <c r="P314" s="6"/>
      <c r="Q314" s="6"/>
    </row>
    <row r="315" spans="5:17" ht="16">
      <c r="E315" s="6"/>
      <c r="F315" s="6"/>
      <c r="G315" s="6"/>
      <c r="H315" s="6"/>
      <c r="I315" s="6"/>
      <c r="J315" s="6"/>
      <c r="K315" s="6"/>
      <c r="L315" s="6"/>
      <c r="M315" s="6"/>
      <c r="N315" s="6"/>
      <c r="O315" s="6"/>
      <c r="P315" s="6"/>
      <c r="Q315" s="6"/>
    </row>
    <row r="316" spans="5:17" ht="16">
      <c r="E316" s="6"/>
      <c r="F316" s="6"/>
      <c r="G316" s="6"/>
      <c r="H316" s="6"/>
      <c r="I316" s="6"/>
      <c r="J316" s="6"/>
      <c r="K316" s="6"/>
      <c r="L316" s="6"/>
      <c r="M316" s="6"/>
      <c r="N316" s="6"/>
      <c r="O316" s="6"/>
      <c r="P316" s="6"/>
      <c r="Q316" s="6"/>
    </row>
    <row r="317" spans="5:17" ht="16">
      <c r="E317" s="6"/>
      <c r="F317" s="6"/>
      <c r="G317" s="6"/>
      <c r="H317" s="6"/>
      <c r="I317" s="6"/>
      <c r="J317" s="6"/>
      <c r="K317" s="6"/>
      <c r="L317" s="6"/>
      <c r="M317" s="6"/>
      <c r="N317" s="6"/>
      <c r="O317" s="6"/>
      <c r="P317" s="6"/>
      <c r="Q317" s="6"/>
    </row>
    <row r="318" spans="5:17" ht="16">
      <c r="E318" s="6"/>
      <c r="F318" s="6"/>
      <c r="G318" s="6"/>
      <c r="H318" s="6"/>
      <c r="I318" s="6"/>
      <c r="J318" s="6"/>
      <c r="K318" s="6"/>
      <c r="L318" s="6"/>
      <c r="M318" s="6"/>
      <c r="N318" s="6"/>
      <c r="O318" s="6"/>
      <c r="P318" s="6"/>
      <c r="Q318" s="6"/>
    </row>
    <row r="319" spans="5:17" ht="16">
      <c r="E319" s="6"/>
      <c r="F319" s="6"/>
      <c r="G319" s="6"/>
      <c r="H319" s="6"/>
      <c r="I319" s="6"/>
      <c r="J319" s="6"/>
      <c r="K319" s="6"/>
      <c r="L319" s="6"/>
      <c r="M319" s="6"/>
      <c r="N319" s="6"/>
      <c r="O319" s="6"/>
      <c r="P319" s="6"/>
      <c r="Q319" s="6"/>
    </row>
    <row r="320" spans="5:17" ht="16">
      <c r="E320" s="6"/>
      <c r="F320" s="6"/>
      <c r="G320" s="6"/>
      <c r="H320" s="6"/>
      <c r="I320" s="6"/>
      <c r="J320" s="6"/>
      <c r="K320" s="6"/>
      <c r="L320" s="6"/>
      <c r="M320" s="6"/>
      <c r="N320" s="6"/>
      <c r="O320" s="6"/>
      <c r="P320" s="6"/>
      <c r="Q320" s="6"/>
    </row>
    <row r="321" spans="5:17" ht="16">
      <c r="E321" s="6"/>
      <c r="F321" s="6"/>
      <c r="G321" s="6"/>
      <c r="H321" s="6"/>
      <c r="I321" s="6"/>
      <c r="J321" s="6"/>
      <c r="K321" s="6"/>
      <c r="L321" s="6"/>
      <c r="M321" s="6"/>
      <c r="N321" s="6"/>
      <c r="O321" s="6"/>
      <c r="P321" s="6"/>
      <c r="Q321" s="6"/>
    </row>
    <row r="322" spans="5:17" ht="16">
      <c r="E322" s="6"/>
      <c r="F322" s="6"/>
      <c r="G322" s="6"/>
      <c r="H322" s="6"/>
      <c r="I322" s="6"/>
      <c r="J322" s="6"/>
      <c r="K322" s="6"/>
      <c r="L322" s="6"/>
      <c r="M322" s="6"/>
      <c r="N322" s="6"/>
      <c r="O322" s="6"/>
      <c r="P322" s="6"/>
      <c r="Q322" s="6"/>
    </row>
    <row r="323" spans="5:17" ht="16">
      <c r="E323" s="6"/>
      <c r="F323" s="6"/>
      <c r="G323" s="6"/>
      <c r="H323" s="6"/>
      <c r="I323" s="6"/>
      <c r="J323" s="6"/>
      <c r="K323" s="6"/>
      <c r="L323" s="6"/>
      <c r="M323" s="6"/>
      <c r="N323" s="6"/>
      <c r="O323" s="6"/>
      <c r="P323" s="6"/>
      <c r="Q323" s="6"/>
    </row>
    <row r="324" spans="5:17" ht="16">
      <c r="E324" s="6"/>
      <c r="F324" s="6"/>
      <c r="G324" s="6"/>
      <c r="H324" s="6"/>
      <c r="I324" s="6"/>
      <c r="J324" s="6"/>
      <c r="K324" s="6"/>
      <c r="L324" s="6"/>
      <c r="M324" s="6"/>
      <c r="N324" s="6"/>
      <c r="O324" s="6"/>
      <c r="P324" s="6"/>
      <c r="Q324" s="6"/>
    </row>
    <row r="325" spans="5:17" ht="16">
      <c r="E325" s="6"/>
      <c r="F325" s="6"/>
      <c r="G325" s="6"/>
      <c r="H325" s="6"/>
      <c r="I325" s="6"/>
      <c r="J325" s="6"/>
      <c r="K325" s="6"/>
      <c r="L325" s="6"/>
      <c r="M325" s="6"/>
      <c r="N325" s="6"/>
      <c r="O325" s="6"/>
      <c r="P325" s="6"/>
      <c r="Q325" s="6"/>
    </row>
    <row r="326" spans="5:17" ht="16">
      <c r="E326" s="6"/>
      <c r="F326" s="6"/>
      <c r="G326" s="6"/>
      <c r="H326" s="6"/>
      <c r="I326" s="6"/>
      <c r="J326" s="6"/>
      <c r="K326" s="6"/>
      <c r="L326" s="6"/>
      <c r="M326" s="6"/>
      <c r="N326" s="6"/>
      <c r="O326" s="6"/>
      <c r="P326" s="6"/>
      <c r="Q326" s="6"/>
    </row>
    <row r="327" spans="5:17" ht="16">
      <c r="E327" s="6"/>
      <c r="F327" s="6"/>
      <c r="G327" s="6"/>
      <c r="H327" s="6"/>
      <c r="I327" s="6"/>
      <c r="J327" s="6"/>
      <c r="K327" s="6"/>
      <c r="L327" s="6"/>
      <c r="M327" s="6"/>
      <c r="N327" s="6"/>
      <c r="O327" s="6"/>
      <c r="P327" s="6"/>
      <c r="Q327" s="6"/>
    </row>
    <row r="328" spans="5:17" ht="16">
      <c r="E328" s="6"/>
      <c r="F328" s="6"/>
      <c r="G328" s="6"/>
      <c r="H328" s="6"/>
      <c r="I328" s="6"/>
      <c r="J328" s="6"/>
      <c r="K328" s="6"/>
      <c r="L328" s="6"/>
      <c r="M328" s="6"/>
      <c r="N328" s="6"/>
      <c r="O328" s="6"/>
      <c r="P328" s="6"/>
      <c r="Q328" s="6"/>
    </row>
    <row r="329" spans="5:17" ht="16">
      <c r="E329" s="6"/>
      <c r="F329" s="6"/>
      <c r="G329" s="6"/>
      <c r="H329" s="6"/>
      <c r="I329" s="6"/>
      <c r="J329" s="6"/>
      <c r="K329" s="6"/>
      <c r="L329" s="6"/>
      <c r="M329" s="6"/>
      <c r="N329" s="6"/>
      <c r="O329" s="6"/>
      <c r="P329" s="6"/>
      <c r="Q329" s="6"/>
    </row>
    <row r="330" spans="5:17" ht="16">
      <c r="E330" s="6"/>
      <c r="F330" s="6"/>
      <c r="G330" s="6"/>
      <c r="H330" s="6"/>
      <c r="I330" s="6"/>
      <c r="J330" s="6"/>
      <c r="K330" s="6"/>
      <c r="L330" s="6"/>
      <c r="M330" s="6"/>
      <c r="N330" s="6"/>
      <c r="O330" s="6"/>
      <c r="P330" s="6"/>
      <c r="Q330" s="6"/>
    </row>
    <row r="331" spans="5:17" ht="16">
      <c r="E331" s="6"/>
      <c r="F331" s="6"/>
      <c r="G331" s="6"/>
      <c r="H331" s="6"/>
      <c r="I331" s="6"/>
      <c r="J331" s="6"/>
      <c r="K331" s="6"/>
      <c r="L331" s="6"/>
      <c r="M331" s="6"/>
      <c r="N331" s="6"/>
      <c r="O331" s="6"/>
      <c r="P331" s="6"/>
      <c r="Q331" s="6"/>
    </row>
    <row r="332" spans="5:17" ht="16">
      <c r="E332" s="6"/>
      <c r="F332" s="6"/>
      <c r="G332" s="6"/>
      <c r="H332" s="6"/>
      <c r="I332" s="6"/>
      <c r="J332" s="6"/>
      <c r="K332" s="6"/>
      <c r="L332" s="6"/>
      <c r="M332" s="6"/>
      <c r="N332" s="6"/>
      <c r="O332" s="6"/>
      <c r="P332" s="6"/>
      <c r="Q332" s="6"/>
    </row>
    <row r="333" spans="5:17" ht="16">
      <c r="E333" s="6"/>
      <c r="F333" s="6"/>
      <c r="G333" s="6"/>
      <c r="H333" s="6"/>
      <c r="I333" s="6"/>
      <c r="J333" s="6"/>
      <c r="K333" s="6"/>
      <c r="L333" s="6"/>
      <c r="M333" s="6"/>
      <c r="N333" s="6"/>
      <c r="O333" s="6"/>
      <c r="P333" s="6"/>
      <c r="Q333" s="6"/>
    </row>
    <row r="334" spans="5:17" ht="16">
      <c r="E334" s="6"/>
      <c r="F334" s="6"/>
      <c r="G334" s="6"/>
      <c r="H334" s="6"/>
      <c r="I334" s="6"/>
      <c r="J334" s="6"/>
      <c r="K334" s="6"/>
      <c r="L334" s="6"/>
      <c r="M334" s="6"/>
      <c r="N334" s="6"/>
      <c r="O334" s="6"/>
      <c r="P334" s="6"/>
      <c r="Q334" s="6"/>
    </row>
    <row r="335" spans="5:17" ht="16">
      <c r="E335" s="6"/>
      <c r="F335" s="6"/>
      <c r="G335" s="6"/>
      <c r="H335" s="6"/>
      <c r="I335" s="6"/>
      <c r="J335" s="6"/>
      <c r="K335" s="6"/>
      <c r="L335" s="6"/>
      <c r="M335" s="6"/>
      <c r="N335" s="6"/>
      <c r="O335" s="6"/>
      <c r="P335" s="6"/>
      <c r="Q335" s="6"/>
    </row>
    <row r="336" spans="5:17" ht="16">
      <c r="E336" s="6"/>
      <c r="F336" s="6"/>
      <c r="G336" s="6"/>
      <c r="H336" s="6"/>
      <c r="I336" s="6"/>
      <c r="J336" s="6"/>
      <c r="K336" s="6"/>
      <c r="L336" s="6"/>
      <c r="M336" s="6"/>
      <c r="N336" s="6"/>
      <c r="O336" s="6"/>
      <c r="P336" s="6"/>
      <c r="Q336" s="6"/>
    </row>
    <row r="337" spans="5:17" ht="16">
      <c r="E337" s="6"/>
      <c r="F337" s="6"/>
      <c r="G337" s="6"/>
      <c r="H337" s="6"/>
      <c r="I337" s="6"/>
      <c r="J337" s="6"/>
      <c r="K337" s="6"/>
      <c r="L337" s="6"/>
      <c r="M337" s="6"/>
      <c r="N337" s="6"/>
      <c r="O337" s="6"/>
      <c r="P337" s="6"/>
      <c r="Q337" s="6"/>
    </row>
    <row r="338" spans="5:17" ht="16">
      <c r="E338" s="6"/>
      <c r="F338" s="6"/>
      <c r="G338" s="6"/>
      <c r="H338" s="6"/>
      <c r="I338" s="6"/>
      <c r="J338" s="6"/>
      <c r="K338" s="6"/>
      <c r="L338" s="6"/>
      <c r="M338" s="6"/>
      <c r="N338" s="6"/>
      <c r="O338" s="6"/>
      <c r="P338" s="6"/>
      <c r="Q338" s="6"/>
    </row>
    <row r="339" spans="5:17" ht="16">
      <c r="E339" s="6"/>
      <c r="F339" s="6"/>
      <c r="G339" s="6"/>
      <c r="H339" s="6"/>
      <c r="I339" s="6"/>
      <c r="J339" s="6"/>
      <c r="K339" s="6"/>
      <c r="L339" s="6"/>
      <c r="M339" s="6"/>
      <c r="N339" s="6"/>
      <c r="O339" s="6"/>
      <c r="P339" s="6"/>
      <c r="Q339" s="6"/>
    </row>
    <row r="340" spans="5:17" ht="16">
      <c r="E340" s="6"/>
      <c r="F340" s="6"/>
      <c r="G340" s="6"/>
      <c r="H340" s="6"/>
      <c r="I340" s="6"/>
      <c r="J340" s="6"/>
      <c r="K340" s="6"/>
      <c r="L340" s="6"/>
      <c r="M340" s="6"/>
      <c r="N340" s="6"/>
      <c r="O340" s="6"/>
      <c r="P340" s="6"/>
      <c r="Q340" s="6"/>
    </row>
    <row r="341" spans="5:17" ht="16">
      <c r="E341" s="6"/>
      <c r="F341" s="6"/>
      <c r="G341" s="6"/>
      <c r="H341" s="6"/>
      <c r="I341" s="6"/>
      <c r="J341" s="6"/>
      <c r="K341" s="6"/>
      <c r="L341" s="6"/>
      <c r="M341" s="6"/>
      <c r="N341" s="6"/>
      <c r="O341" s="6"/>
      <c r="P341" s="6"/>
      <c r="Q341" s="6"/>
    </row>
    <row r="342" spans="5:17" ht="16">
      <c r="E342" s="6"/>
      <c r="F342" s="6"/>
      <c r="G342" s="6"/>
      <c r="H342" s="6"/>
      <c r="I342" s="6"/>
      <c r="J342" s="6"/>
      <c r="K342" s="6"/>
      <c r="L342" s="6"/>
      <c r="M342" s="6"/>
      <c r="N342" s="6"/>
      <c r="O342" s="6"/>
      <c r="P342" s="6"/>
      <c r="Q342" s="6"/>
    </row>
    <row r="343" spans="5:17" ht="16">
      <c r="E343" s="6"/>
      <c r="F343" s="6"/>
      <c r="G343" s="6"/>
      <c r="H343" s="6"/>
      <c r="I343" s="6"/>
      <c r="J343" s="6"/>
      <c r="K343" s="6"/>
      <c r="L343" s="6"/>
      <c r="M343" s="6"/>
      <c r="N343" s="6"/>
      <c r="O343" s="6"/>
      <c r="P343" s="6"/>
      <c r="Q343" s="6"/>
    </row>
    <row r="344" spans="5:17" ht="16">
      <c r="E344" s="6"/>
      <c r="F344" s="6"/>
      <c r="G344" s="6"/>
      <c r="H344" s="6"/>
      <c r="I344" s="6"/>
      <c r="J344" s="6"/>
      <c r="K344" s="6"/>
      <c r="L344" s="6"/>
      <c r="M344" s="6"/>
      <c r="N344" s="6"/>
      <c r="O344" s="6"/>
      <c r="P344" s="6"/>
      <c r="Q344" s="6"/>
    </row>
    <row r="345" spans="5:17" ht="16">
      <c r="E345" s="6"/>
      <c r="F345" s="6"/>
      <c r="G345" s="6"/>
      <c r="H345" s="6"/>
      <c r="I345" s="6"/>
      <c r="J345" s="6"/>
      <c r="K345" s="6"/>
      <c r="L345" s="6"/>
      <c r="M345" s="6"/>
      <c r="N345" s="6"/>
      <c r="O345" s="6"/>
      <c r="P345" s="6"/>
      <c r="Q345" s="6"/>
    </row>
    <row r="346" spans="5:17" ht="16">
      <c r="E346" s="6"/>
      <c r="F346" s="6"/>
      <c r="G346" s="6"/>
      <c r="H346" s="6"/>
      <c r="I346" s="6"/>
      <c r="J346" s="6"/>
      <c r="K346" s="6"/>
      <c r="L346" s="6"/>
      <c r="M346" s="6"/>
      <c r="N346" s="6"/>
      <c r="O346" s="6"/>
      <c r="P346" s="6"/>
      <c r="Q346" s="6"/>
    </row>
    <row r="347" spans="5:17" ht="16">
      <c r="E347" s="6"/>
      <c r="F347" s="6"/>
      <c r="G347" s="6"/>
      <c r="H347" s="6"/>
      <c r="I347" s="6"/>
      <c r="J347" s="6"/>
      <c r="K347" s="6"/>
      <c r="L347" s="6"/>
      <c r="M347" s="6"/>
      <c r="N347" s="6"/>
      <c r="O347" s="6"/>
      <c r="P347" s="6"/>
      <c r="Q347" s="6"/>
    </row>
    <row r="348" spans="5:17" ht="16">
      <c r="E348" s="6"/>
      <c r="F348" s="6"/>
      <c r="G348" s="6"/>
      <c r="H348" s="6"/>
      <c r="I348" s="6"/>
      <c r="J348" s="6"/>
      <c r="K348" s="6"/>
      <c r="L348" s="6"/>
      <c r="M348" s="6"/>
      <c r="N348" s="6"/>
      <c r="O348" s="6"/>
      <c r="P348" s="6"/>
      <c r="Q348" s="6"/>
    </row>
    <row r="349" spans="5:17" ht="16">
      <c r="E349" s="6"/>
      <c r="F349" s="6"/>
      <c r="G349" s="6"/>
      <c r="H349" s="6"/>
      <c r="I349" s="6"/>
      <c r="J349" s="6"/>
      <c r="K349" s="6"/>
      <c r="L349" s="6"/>
      <c r="M349" s="6"/>
      <c r="N349" s="6"/>
      <c r="O349" s="6"/>
      <c r="P349" s="6"/>
      <c r="Q349" s="6"/>
    </row>
    <row r="350" spans="5:17" ht="16">
      <c r="E350" s="6"/>
      <c r="F350" s="6"/>
      <c r="G350" s="6"/>
      <c r="H350" s="6"/>
      <c r="I350" s="6"/>
      <c r="J350" s="6"/>
      <c r="K350" s="6"/>
      <c r="L350" s="6"/>
      <c r="M350" s="6"/>
      <c r="N350" s="6"/>
      <c r="O350" s="6"/>
      <c r="P350" s="6"/>
      <c r="Q350" s="6"/>
    </row>
    <row r="351" spans="5:17" ht="16">
      <c r="E351" s="6"/>
      <c r="F351" s="6"/>
      <c r="G351" s="6"/>
      <c r="H351" s="6"/>
      <c r="I351" s="6"/>
      <c r="J351" s="6"/>
      <c r="K351" s="6"/>
      <c r="L351" s="6"/>
      <c r="M351" s="6"/>
      <c r="N351" s="6"/>
      <c r="O351" s="6"/>
      <c r="P351" s="6"/>
      <c r="Q351" s="6"/>
    </row>
    <row r="352" spans="5:17" ht="16">
      <c r="E352" s="6"/>
      <c r="F352" s="6"/>
      <c r="G352" s="6"/>
      <c r="H352" s="6"/>
      <c r="I352" s="6"/>
      <c r="J352" s="6"/>
      <c r="K352" s="6"/>
      <c r="L352" s="6"/>
      <c r="M352" s="6"/>
      <c r="N352" s="6"/>
      <c r="O352" s="6"/>
      <c r="P352" s="6"/>
      <c r="Q352" s="6"/>
    </row>
    <row r="353" spans="5:17" ht="16">
      <c r="E353" s="6"/>
      <c r="F353" s="6"/>
      <c r="G353" s="6"/>
      <c r="H353" s="6"/>
      <c r="I353" s="6"/>
      <c r="J353" s="6"/>
      <c r="K353" s="6"/>
      <c r="L353" s="6"/>
      <c r="M353" s="6"/>
      <c r="N353" s="6"/>
      <c r="O353" s="6"/>
      <c r="P353" s="6"/>
      <c r="Q353" s="6"/>
    </row>
    <row r="354" spans="5:17" ht="16">
      <c r="E354" s="6"/>
      <c r="F354" s="6"/>
      <c r="G354" s="6"/>
      <c r="H354" s="6"/>
      <c r="I354" s="6"/>
      <c r="J354" s="6"/>
      <c r="K354" s="6"/>
      <c r="L354" s="6"/>
      <c r="M354" s="6"/>
      <c r="N354" s="6"/>
      <c r="O354" s="6"/>
      <c r="P354" s="6"/>
      <c r="Q354" s="6"/>
    </row>
    <row r="355" spans="5:17" ht="16">
      <c r="E355" s="6"/>
      <c r="F355" s="6"/>
      <c r="G355" s="6"/>
      <c r="H355" s="6"/>
      <c r="I355" s="6"/>
      <c r="J355" s="6"/>
      <c r="K355" s="6"/>
      <c r="L355" s="6"/>
      <c r="M355" s="6"/>
      <c r="N355" s="6"/>
      <c r="O355" s="6"/>
      <c r="P355" s="6"/>
      <c r="Q355" s="6"/>
    </row>
    <row r="356" spans="5:17" ht="16">
      <c r="E356" s="6"/>
      <c r="F356" s="6"/>
      <c r="G356" s="6"/>
      <c r="H356" s="6"/>
      <c r="I356" s="6"/>
      <c r="J356" s="6"/>
      <c r="K356" s="6"/>
      <c r="L356" s="6"/>
      <c r="M356" s="6"/>
      <c r="N356" s="6"/>
      <c r="O356" s="6"/>
      <c r="P356" s="6"/>
      <c r="Q356" s="6"/>
    </row>
    <row r="357" spans="5:17" ht="16">
      <c r="E357" s="6"/>
      <c r="F357" s="6"/>
      <c r="G357" s="6"/>
      <c r="H357" s="6"/>
      <c r="I357" s="6"/>
      <c r="J357" s="6"/>
      <c r="K357" s="6"/>
      <c r="L357" s="6"/>
      <c r="M357" s="6"/>
      <c r="N357" s="6"/>
      <c r="O357" s="6"/>
      <c r="P357" s="6"/>
      <c r="Q357" s="6"/>
    </row>
    <row r="358" spans="5:17" ht="16">
      <c r="E358" s="6"/>
      <c r="F358" s="6"/>
      <c r="G358" s="6"/>
      <c r="H358" s="6"/>
      <c r="I358" s="6"/>
      <c r="J358" s="6"/>
      <c r="K358" s="6"/>
      <c r="L358" s="6"/>
      <c r="M358" s="6"/>
      <c r="N358" s="6"/>
      <c r="O358" s="6"/>
      <c r="P358" s="6"/>
      <c r="Q358" s="6"/>
    </row>
    <row r="359" spans="5:17" ht="16">
      <c r="E359" s="6"/>
      <c r="F359" s="6"/>
      <c r="G359" s="6"/>
      <c r="H359" s="6"/>
      <c r="I359" s="6"/>
      <c r="J359" s="6"/>
      <c r="K359" s="6"/>
      <c r="L359" s="6"/>
      <c r="M359" s="6"/>
      <c r="N359" s="6"/>
      <c r="O359" s="6"/>
      <c r="P359" s="6"/>
      <c r="Q359" s="6"/>
    </row>
    <row r="360" spans="5:17" ht="16">
      <c r="E360" s="6"/>
      <c r="F360" s="6"/>
      <c r="G360" s="6"/>
      <c r="H360" s="6"/>
      <c r="I360" s="6"/>
      <c r="J360" s="6"/>
      <c r="K360" s="6"/>
      <c r="L360" s="6"/>
      <c r="M360" s="6"/>
      <c r="N360" s="6"/>
      <c r="O360" s="6"/>
      <c r="P360" s="6"/>
      <c r="Q360" s="6"/>
    </row>
    <row r="361" spans="5:17" ht="16">
      <c r="E361" s="6"/>
      <c r="F361" s="6"/>
      <c r="G361" s="6"/>
      <c r="H361" s="6"/>
      <c r="I361" s="6"/>
      <c r="J361" s="6"/>
      <c r="K361" s="6"/>
      <c r="L361" s="6"/>
      <c r="M361" s="6"/>
      <c r="N361" s="6"/>
      <c r="O361" s="6"/>
      <c r="P361" s="6"/>
      <c r="Q361" s="6"/>
    </row>
    <row r="362" spans="5:17" ht="16">
      <c r="E362" s="6"/>
      <c r="F362" s="6"/>
      <c r="G362" s="6"/>
      <c r="H362" s="6"/>
      <c r="I362" s="6"/>
      <c r="J362" s="6"/>
      <c r="K362" s="6"/>
      <c r="L362" s="6"/>
      <c r="M362" s="6"/>
      <c r="N362" s="6"/>
      <c r="O362" s="6"/>
      <c r="P362" s="6"/>
      <c r="Q362" s="6"/>
    </row>
    <row r="363" spans="5:17" ht="16">
      <c r="E363" s="6"/>
      <c r="F363" s="6"/>
      <c r="G363" s="6"/>
      <c r="H363" s="6"/>
      <c r="I363" s="6"/>
      <c r="J363" s="6"/>
      <c r="K363" s="6"/>
      <c r="L363" s="6"/>
      <c r="M363" s="6"/>
      <c r="N363" s="6"/>
      <c r="O363" s="6"/>
      <c r="P363" s="6"/>
      <c r="Q363" s="6"/>
    </row>
    <row r="364" spans="5:17" ht="16">
      <c r="E364" s="6"/>
      <c r="F364" s="6"/>
      <c r="G364" s="6"/>
      <c r="H364" s="6"/>
      <c r="I364" s="6"/>
      <c r="J364" s="6"/>
      <c r="K364" s="6"/>
      <c r="L364" s="6"/>
      <c r="M364" s="6"/>
      <c r="N364" s="6"/>
      <c r="O364" s="6"/>
      <c r="P364" s="6"/>
      <c r="Q364" s="6"/>
    </row>
    <row r="365" spans="5:17" ht="16">
      <c r="E365" s="6"/>
      <c r="F365" s="6"/>
      <c r="G365" s="6"/>
      <c r="H365" s="6"/>
      <c r="I365" s="6"/>
      <c r="J365" s="6"/>
      <c r="K365" s="6"/>
      <c r="L365" s="6"/>
      <c r="M365" s="6"/>
      <c r="N365" s="6"/>
      <c r="O365" s="6"/>
      <c r="P365" s="6"/>
      <c r="Q365" s="6"/>
    </row>
    <row r="366" spans="5:17" ht="16">
      <c r="E366" s="6"/>
      <c r="F366" s="6"/>
      <c r="G366" s="6"/>
      <c r="H366" s="6"/>
      <c r="I366" s="6"/>
      <c r="J366" s="6"/>
      <c r="K366" s="6"/>
      <c r="L366" s="6"/>
      <c r="M366" s="6"/>
      <c r="N366" s="6"/>
      <c r="O366" s="6"/>
      <c r="P366" s="6"/>
      <c r="Q366" s="6"/>
    </row>
    <row r="367" spans="5:17" ht="16">
      <c r="E367" s="6"/>
      <c r="F367" s="6"/>
      <c r="G367" s="6"/>
      <c r="H367" s="6"/>
      <c r="I367" s="6"/>
      <c r="J367" s="6"/>
      <c r="K367" s="6"/>
      <c r="L367" s="6"/>
      <c r="M367" s="6"/>
      <c r="N367" s="6"/>
      <c r="O367" s="6"/>
      <c r="P367" s="6"/>
      <c r="Q367" s="6"/>
    </row>
    <row r="368" spans="5:17" ht="16">
      <c r="E368" s="6"/>
      <c r="F368" s="6"/>
      <c r="G368" s="6"/>
      <c r="H368" s="6"/>
      <c r="I368" s="6"/>
      <c r="J368" s="6"/>
      <c r="K368" s="6"/>
      <c r="L368" s="6"/>
      <c r="M368" s="6"/>
      <c r="N368" s="6"/>
      <c r="O368" s="6"/>
      <c r="P368" s="6"/>
      <c r="Q368" s="6"/>
    </row>
    <row r="369" spans="5:17" ht="16">
      <c r="E369" s="6"/>
      <c r="F369" s="6"/>
      <c r="G369" s="6"/>
      <c r="H369" s="6"/>
      <c r="I369" s="6"/>
      <c r="J369" s="6"/>
      <c r="K369" s="6"/>
      <c r="L369" s="6"/>
      <c r="M369" s="6"/>
      <c r="N369" s="6"/>
      <c r="O369" s="6"/>
      <c r="P369" s="6"/>
      <c r="Q369" s="6"/>
    </row>
    <row r="370" spans="5:17" ht="16">
      <c r="E370" s="6"/>
      <c r="F370" s="6"/>
      <c r="G370" s="6"/>
      <c r="H370" s="6"/>
      <c r="I370" s="6"/>
      <c r="J370" s="6"/>
      <c r="K370" s="6"/>
      <c r="L370" s="6"/>
      <c r="M370" s="6"/>
      <c r="N370" s="6"/>
      <c r="O370" s="6"/>
      <c r="P370" s="6"/>
      <c r="Q370" s="6"/>
    </row>
    <row r="371" spans="5:17" ht="16">
      <c r="E371" s="6"/>
      <c r="F371" s="6"/>
      <c r="G371" s="6"/>
      <c r="H371" s="6"/>
      <c r="I371" s="6"/>
      <c r="J371" s="6"/>
      <c r="K371" s="6"/>
      <c r="L371" s="6"/>
      <c r="M371" s="6"/>
      <c r="N371" s="6"/>
      <c r="O371" s="6"/>
      <c r="P371" s="6"/>
      <c r="Q371" s="6"/>
    </row>
    <row r="372" spans="5:17" ht="16">
      <c r="E372" s="6"/>
      <c r="F372" s="6"/>
      <c r="G372" s="6"/>
      <c r="H372" s="6"/>
      <c r="I372" s="6"/>
      <c r="J372" s="6"/>
      <c r="K372" s="6"/>
      <c r="L372" s="6"/>
      <c r="M372" s="6"/>
      <c r="N372" s="6"/>
      <c r="O372" s="6"/>
      <c r="P372" s="6"/>
      <c r="Q372" s="6"/>
    </row>
    <row r="373" spans="5:17" ht="16">
      <c r="E373" s="6"/>
      <c r="F373" s="6"/>
      <c r="G373" s="6"/>
      <c r="H373" s="6"/>
      <c r="I373" s="6"/>
      <c r="J373" s="6"/>
      <c r="K373" s="6"/>
      <c r="L373" s="6"/>
      <c r="M373" s="6"/>
      <c r="N373" s="6"/>
      <c r="O373" s="6"/>
      <c r="P373" s="6"/>
      <c r="Q373" s="6"/>
    </row>
    <row r="374" spans="5:17" ht="16">
      <c r="E374" s="6"/>
      <c r="F374" s="6"/>
      <c r="G374" s="6"/>
      <c r="H374" s="6"/>
      <c r="I374" s="6"/>
      <c r="J374" s="6"/>
      <c r="K374" s="6"/>
      <c r="L374" s="6"/>
      <c r="M374" s="6"/>
      <c r="N374" s="6"/>
      <c r="O374" s="6"/>
      <c r="P374" s="6"/>
      <c r="Q374" s="6"/>
    </row>
    <row r="375" spans="5:17" ht="16">
      <c r="E375" s="6"/>
      <c r="F375" s="6"/>
      <c r="G375" s="6"/>
      <c r="H375" s="6"/>
      <c r="I375" s="6"/>
      <c r="J375" s="6"/>
      <c r="K375" s="6"/>
      <c r="L375" s="6"/>
      <c r="M375" s="6"/>
      <c r="N375" s="6"/>
      <c r="O375" s="6"/>
      <c r="P375" s="6"/>
      <c r="Q375" s="6"/>
    </row>
    <row r="376" spans="5:17" ht="16">
      <c r="E376" s="6"/>
      <c r="F376" s="6"/>
      <c r="G376" s="6"/>
      <c r="H376" s="6"/>
      <c r="I376" s="6"/>
      <c r="J376" s="6"/>
      <c r="K376" s="6"/>
      <c r="L376" s="6"/>
      <c r="M376" s="6"/>
      <c r="N376" s="6"/>
      <c r="O376" s="6"/>
      <c r="P376" s="6"/>
      <c r="Q376" s="6"/>
    </row>
    <row r="377" spans="5:17" ht="16">
      <c r="E377" s="6"/>
      <c r="F377" s="6"/>
      <c r="G377" s="6"/>
      <c r="H377" s="6"/>
      <c r="I377" s="6"/>
      <c r="J377" s="6"/>
      <c r="K377" s="6"/>
      <c r="L377" s="6"/>
      <c r="M377" s="6"/>
      <c r="N377" s="6"/>
      <c r="O377" s="6"/>
      <c r="P377" s="6"/>
      <c r="Q377" s="6"/>
    </row>
    <row r="378" spans="5:17" ht="16">
      <c r="E378" s="6"/>
      <c r="F378" s="6"/>
      <c r="G378" s="6"/>
      <c r="H378" s="6"/>
      <c r="I378" s="6"/>
      <c r="J378" s="6"/>
      <c r="K378" s="6"/>
      <c r="L378" s="6"/>
      <c r="M378" s="6"/>
      <c r="N378" s="6"/>
      <c r="O378" s="6"/>
      <c r="P378" s="6"/>
      <c r="Q378" s="6"/>
    </row>
    <row r="379" spans="5:17" ht="16">
      <c r="E379" s="6"/>
      <c r="F379" s="6"/>
      <c r="G379" s="6"/>
      <c r="H379" s="6"/>
      <c r="I379" s="6"/>
      <c r="J379" s="6"/>
      <c r="K379" s="6"/>
      <c r="L379" s="6"/>
      <c r="M379" s="6"/>
      <c r="N379" s="6"/>
      <c r="O379" s="6"/>
      <c r="P379" s="6"/>
      <c r="Q379" s="6"/>
    </row>
    <row r="380" spans="5:17" ht="16">
      <c r="E380" s="6"/>
      <c r="F380" s="6"/>
      <c r="G380" s="6"/>
      <c r="H380" s="6"/>
      <c r="I380" s="6"/>
      <c r="J380" s="6"/>
      <c r="K380" s="6"/>
      <c r="L380" s="6"/>
      <c r="M380" s="6"/>
      <c r="N380" s="6"/>
      <c r="O380" s="6"/>
      <c r="P380" s="6"/>
      <c r="Q380" s="6"/>
    </row>
    <row r="381" spans="5:17" ht="16">
      <c r="E381" s="6"/>
      <c r="F381" s="6"/>
      <c r="G381" s="6"/>
      <c r="H381" s="6"/>
      <c r="I381" s="6"/>
      <c r="J381" s="6"/>
      <c r="K381" s="6"/>
      <c r="L381" s="6"/>
      <c r="M381" s="6"/>
      <c r="N381" s="6"/>
      <c r="O381" s="6"/>
      <c r="P381" s="6"/>
      <c r="Q381" s="6"/>
    </row>
    <row r="382" spans="5:17" ht="16">
      <c r="E382" s="6"/>
      <c r="F382" s="6"/>
      <c r="G382" s="6"/>
      <c r="H382" s="6"/>
      <c r="I382" s="6"/>
      <c r="J382" s="6"/>
      <c r="K382" s="6"/>
      <c r="L382" s="6"/>
      <c r="M382" s="6"/>
      <c r="N382" s="6"/>
      <c r="O382" s="6"/>
      <c r="P382" s="6"/>
      <c r="Q382" s="6"/>
    </row>
    <row r="383" spans="5:17" ht="16">
      <c r="E383" s="6"/>
      <c r="F383" s="6"/>
      <c r="G383" s="6"/>
      <c r="H383" s="6"/>
      <c r="I383" s="6"/>
      <c r="J383" s="6"/>
      <c r="K383" s="6"/>
      <c r="L383" s="6"/>
      <c r="M383" s="6"/>
      <c r="N383" s="6"/>
      <c r="O383" s="6"/>
      <c r="P383" s="6"/>
      <c r="Q383" s="6"/>
    </row>
    <row r="384" spans="5:17" ht="16">
      <c r="E384" s="6"/>
      <c r="F384" s="6"/>
      <c r="G384" s="6"/>
      <c r="H384" s="6"/>
      <c r="I384" s="6"/>
      <c r="J384" s="6"/>
      <c r="K384" s="6"/>
      <c r="L384" s="6"/>
      <c r="M384" s="6"/>
      <c r="N384" s="6"/>
      <c r="O384" s="6"/>
      <c r="P384" s="6"/>
      <c r="Q384" s="6"/>
    </row>
    <row r="385" spans="5:17" ht="16">
      <c r="E385" s="6"/>
      <c r="F385" s="6"/>
      <c r="G385" s="6"/>
      <c r="H385" s="6"/>
      <c r="I385" s="6"/>
      <c r="J385" s="6"/>
      <c r="K385" s="6"/>
      <c r="L385" s="6"/>
      <c r="M385" s="6"/>
      <c r="N385" s="6"/>
      <c r="O385" s="6"/>
      <c r="P385" s="6"/>
      <c r="Q385" s="6"/>
    </row>
    <row r="386" spans="5:17" ht="16">
      <c r="E386" s="6"/>
      <c r="F386" s="6"/>
      <c r="G386" s="6"/>
      <c r="H386" s="6"/>
      <c r="I386" s="6"/>
      <c r="J386" s="6"/>
      <c r="K386" s="6"/>
      <c r="L386" s="6"/>
      <c r="M386" s="6"/>
      <c r="N386" s="6"/>
      <c r="O386" s="6"/>
      <c r="P386" s="6"/>
      <c r="Q386" s="6"/>
    </row>
    <row r="387" spans="5:17" ht="16">
      <c r="E387" s="6"/>
      <c r="F387" s="6"/>
      <c r="G387" s="6"/>
      <c r="H387" s="6"/>
      <c r="I387" s="6"/>
      <c r="J387" s="6"/>
      <c r="K387" s="6"/>
      <c r="L387" s="6"/>
      <c r="M387" s="6"/>
      <c r="N387" s="6"/>
      <c r="O387" s="6"/>
      <c r="P387" s="6"/>
      <c r="Q387" s="6"/>
    </row>
    <row r="388" spans="5:17" ht="16">
      <c r="E388" s="6"/>
      <c r="F388" s="6"/>
      <c r="G388" s="6"/>
      <c r="H388" s="6"/>
      <c r="I388" s="6"/>
      <c r="J388" s="6"/>
      <c r="K388" s="6"/>
      <c r="L388" s="6"/>
      <c r="M388" s="6"/>
      <c r="N388" s="6"/>
      <c r="O388" s="6"/>
      <c r="P388" s="6"/>
      <c r="Q388" s="6"/>
    </row>
    <row r="389" spans="5:17" ht="16">
      <c r="E389" s="6"/>
      <c r="F389" s="6"/>
      <c r="G389" s="6"/>
      <c r="H389" s="6"/>
      <c r="I389" s="6"/>
      <c r="J389" s="6"/>
      <c r="K389" s="6"/>
      <c r="L389" s="6"/>
      <c r="M389" s="6"/>
      <c r="N389" s="6"/>
      <c r="O389" s="6"/>
      <c r="P389" s="6"/>
      <c r="Q389" s="6"/>
    </row>
    <row r="390" spans="5:17" ht="16">
      <c r="E390" s="6"/>
      <c r="F390" s="6"/>
      <c r="G390" s="6"/>
      <c r="H390" s="6"/>
      <c r="I390" s="6"/>
      <c r="J390" s="6"/>
      <c r="K390" s="6"/>
      <c r="L390" s="6"/>
      <c r="M390" s="6"/>
      <c r="N390" s="6"/>
      <c r="O390" s="6"/>
      <c r="P390" s="6"/>
      <c r="Q390" s="6"/>
    </row>
    <row r="391" spans="5:17" ht="16">
      <c r="E391" s="6"/>
      <c r="F391" s="6"/>
      <c r="G391" s="6"/>
      <c r="H391" s="6"/>
      <c r="I391" s="6"/>
      <c r="J391" s="6"/>
      <c r="K391" s="6"/>
      <c r="L391" s="6"/>
      <c r="M391" s="6"/>
      <c r="N391" s="6"/>
      <c r="O391" s="6"/>
      <c r="P391" s="6"/>
      <c r="Q391" s="6"/>
    </row>
    <row r="392" spans="5:17" ht="16">
      <c r="E392" s="6"/>
      <c r="F392" s="6"/>
      <c r="G392" s="6"/>
      <c r="H392" s="6"/>
      <c r="I392" s="6"/>
      <c r="J392" s="6"/>
      <c r="K392" s="6"/>
      <c r="L392" s="6"/>
      <c r="M392" s="6"/>
      <c r="N392" s="6"/>
      <c r="O392" s="6"/>
      <c r="P392" s="6"/>
      <c r="Q392" s="6"/>
    </row>
    <row r="393" spans="5:17" ht="16">
      <c r="E393" s="6"/>
      <c r="F393" s="6"/>
      <c r="G393" s="6"/>
      <c r="H393" s="6"/>
      <c r="I393" s="6"/>
      <c r="J393" s="6"/>
      <c r="K393" s="6"/>
      <c r="L393" s="6"/>
      <c r="M393" s="6"/>
      <c r="N393" s="6"/>
      <c r="O393" s="6"/>
      <c r="P393" s="6"/>
      <c r="Q393" s="6"/>
    </row>
    <row r="394" spans="5:17" ht="16">
      <c r="E394" s="6"/>
      <c r="F394" s="6"/>
      <c r="G394" s="6"/>
      <c r="H394" s="6"/>
      <c r="I394" s="6"/>
      <c r="J394" s="6"/>
      <c r="K394" s="6"/>
      <c r="L394" s="6"/>
      <c r="M394" s="6"/>
      <c r="N394" s="6"/>
      <c r="O394" s="6"/>
      <c r="P394" s="6"/>
      <c r="Q394" s="6"/>
    </row>
    <row r="395" spans="5:17" ht="16">
      <c r="E395" s="6"/>
      <c r="F395" s="6"/>
      <c r="G395" s="6"/>
      <c r="H395" s="6"/>
      <c r="I395" s="6"/>
      <c r="J395" s="6"/>
      <c r="K395" s="6"/>
      <c r="L395" s="6"/>
      <c r="M395" s="6"/>
      <c r="N395" s="6"/>
      <c r="O395" s="6"/>
      <c r="P395" s="6"/>
      <c r="Q395" s="6"/>
    </row>
    <row r="396" spans="5:17" ht="16">
      <c r="E396" s="6"/>
      <c r="F396" s="6"/>
      <c r="G396" s="6"/>
      <c r="H396" s="6"/>
      <c r="I396" s="6"/>
      <c r="J396" s="6"/>
      <c r="K396" s="6"/>
      <c r="L396" s="6"/>
      <c r="M396" s="6"/>
      <c r="N396" s="6"/>
      <c r="O396" s="6"/>
      <c r="P396" s="6"/>
      <c r="Q396" s="6"/>
    </row>
    <row r="397" spans="5:17" ht="16">
      <c r="E397" s="6"/>
      <c r="F397" s="6"/>
      <c r="G397" s="6"/>
      <c r="H397" s="6"/>
      <c r="I397" s="6"/>
      <c r="J397" s="6"/>
      <c r="K397" s="6"/>
      <c r="L397" s="6"/>
      <c r="M397" s="6"/>
      <c r="N397" s="6"/>
      <c r="O397" s="6"/>
      <c r="P397" s="6"/>
      <c r="Q397" s="6"/>
    </row>
    <row r="398" spans="5:17" ht="16">
      <c r="E398" s="6"/>
      <c r="F398" s="6"/>
      <c r="G398" s="6"/>
      <c r="H398" s="6"/>
      <c r="I398" s="6"/>
      <c r="J398" s="6"/>
      <c r="K398" s="6"/>
      <c r="L398" s="6"/>
      <c r="M398" s="6"/>
      <c r="N398" s="6"/>
      <c r="O398" s="6"/>
      <c r="P398" s="6"/>
      <c r="Q398" s="6"/>
    </row>
    <row r="399" spans="5:17" ht="16">
      <c r="E399" s="6"/>
      <c r="F399" s="6"/>
      <c r="G399" s="6"/>
      <c r="H399" s="6"/>
      <c r="I399" s="6"/>
      <c r="J399" s="6"/>
      <c r="K399" s="6"/>
      <c r="L399" s="6"/>
      <c r="M399" s="6"/>
      <c r="N399" s="6"/>
      <c r="O399" s="6"/>
      <c r="P399" s="6"/>
      <c r="Q399" s="6"/>
    </row>
    <row r="400" spans="5:17" ht="16">
      <c r="E400" s="6"/>
      <c r="F400" s="6"/>
      <c r="G400" s="6"/>
      <c r="H400" s="6"/>
      <c r="I400" s="6"/>
      <c r="J400" s="6"/>
      <c r="K400" s="6"/>
      <c r="L400" s="6"/>
      <c r="M400" s="6"/>
      <c r="N400" s="6"/>
      <c r="O400" s="6"/>
      <c r="P400" s="6"/>
      <c r="Q400" s="6"/>
    </row>
    <row r="401" spans="5:17" ht="16">
      <c r="E401" s="6"/>
      <c r="F401" s="6"/>
      <c r="G401" s="6"/>
      <c r="H401" s="6"/>
      <c r="I401" s="6"/>
      <c r="J401" s="6"/>
      <c r="K401" s="6"/>
      <c r="L401" s="6"/>
      <c r="M401" s="6"/>
      <c r="N401" s="6"/>
      <c r="O401" s="6"/>
      <c r="P401" s="6"/>
      <c r="Q401" s="6"/>
    </row>
    <row r="402" spans="5:17" ht="16">
      <c r="E402" s="6"/>
      <c r="F402" s="6"/>
      <c r="G402" s="6"/>
      <c r="H402" s="6"/>
      <c r="I402" s="6"/>
      <c r="J402" s="6"/>
      <c r="K402" s="6"/>
      <c r="L402" s="6"/>
      <c r="M402" s="6"/>
      <c r="N402" s="6"/>
      <c r="O402" s="6"/>
      <c r="P402" s="6"/>
      <c r="Q402" s="6"/>
    </row>
    <row r="403" spans="5:17" ht="16">
      <c r="E403" s="6"/>
      <c r="F403" s="6"/>
      <c r="G403" s="6"/>
      <c r="H403" s="6"/>
      <c r="I403" s="6"/>
      <c r="J403" s="6"/>
      <c r="K403" s="6"/>
      <c r="L403" s="6"/>
      <c r="M403" s="6"/>
      <c r="N403" s="6"/>
      <c r="O403" s="6"/>
      <c r="P403" s="6"/>
      <c r="Q403" s="6"/>
    </row>
    <row r="404" spans="5:17" ht="16">
      <c r="E404" s="6"/>
      <c r="F404" s="6"/>
      <c r="G404" s="6"/>
      <c r="H404" s="6"/>
      <c r="I404" s="6"/>
      <c r="J404" s="6"/>
      <c r="K404" s="6"/>
      <c r="L404" s="6"/>
      <c r="M404" s="6"/>
      <c r="N404" s="6"/>
      <c r="O404" s="6"/>
      <c r="P404" s="6"/>
      <c r="Q404" s="6"/>
    </row>
    <row r="405" spans="5:17" ht="16">
      <c r="E405" s="6"/>
      <c r="F405" s="6"/>
      <c r="G405" s="6"/>
      <c r="H405" s="6"/>
      <c r="I405" s="6"/>
      <c r="J405" s="6"/>
      <c r="K405" s="6"/>
      <c r="L405" s="6"/>
      <c r="M405" s="6"/>
      <c r="N405" s="6"/>
      <c r="O405" s="6"/>
      <c r="P405" s="6"/>
      <c r="Q405" s="6"/>
    </row>
    <row r="406" spans="5:17" ht="16">
      <c r="E406" s="6"/>
      <c r="F406" s="6"/>
      <c r="G406" s="6"/>
      <c r="H406" s="6"/>
      <c r="I406" s="6"/>
      <c r="J406" s="6"/>
      <c r="K406" s="6"/>
      <c r="L406" s="6"/>
      <c r="M406" s="6"/>
      <c r="N406" s="6"/>
      <c r="O406" s="6"/>
      <c r="P406" s="6"/>
      <c r="Q406" s="6"/>
    </row>
    <row r="407" spans="5:17" ht="16">
      <c r="E407" s="6"/>
      <c r="F407" s="6"/>
      <c r="G407" s="6"/>
      <c r="H407" s="6"/>
      <c r="I407" s="6"/>
      <c r="J407" s="6"/>
      <c r="K407" s="6"/>
      <c r="L407" s="6"/>
      <c r="M407" s="6"/>
      <c r="N407" s="6"/>
      <c r="O407" s="6"/>
      <c r="P407" s="6"/>
      <c r="Q407" s="6"/>
    </row>
    <row r="408" spans="5:17" ht="16">
      <c r="E408" s="6"/>
      <c r="F408" s="6"/>
      <c r="G408" s="6"/>
      <c r="H408" s="6"/>
      <c r="I408" s="6"/>
      <c r="J408" s="6"/>
      <c r="K408" s="6"/>
      <c r="L408" s="6"/>
      <c r="M408" s="6"/>
      <c r="N408" s="6"/>
      <c r="O408" s="6"/>
      <c r="P408" s="6"/>
      <c r="Q408" s="6"/>
    </row>
    <row r="409" spans="5:17" ht="16">
      <c r="E409" s="6"/>
      <c r="F409" s="6"/>
      <c r="G409" s="6"/>
      <c r="H409" s="6"/>
      <c r="I409" s="6"/>
      <c r="J409" s="6"/>
      <c r="K409" s="6"/>
      <c r="L409" s="6"/>
      <c r="M409" s="6"/>
      <c r="N409" s="6"/>
      <c r="O409" s="6"/>
      <c r="P409" s="6"/>
      <c r="Q409" s="6"/>
    </row>
    <row r="410" spans="5:17" ht="16">
      <c r="E410" s="6"/>
      <c r="F410" s="6"/>
      <c r="G410" s="6"/>
      <c r="H410" s="6"/>
      <c r="I410" s="6"/>
      <c r="J410" s="6"/>
      <c r="K410" s="6"/>
      <c r="L410" s="6"/>
      <c r="M410" s="6"/>
      <c r="N410" s="6"/>
      <c r="O410" s="6"/>
      <c r="P410" s="6"/>
      <c r="Q410" s="6"/>
    </row>
    <row r="411" spans="5:17" ht="16">
      <c r="E411" s="6"/>
      <c r="F411" s="6"/>
      <c r="G411" s="6"/>
      <c r="H411" s="6"/>
      <c r="I411" s="6"/>
      <c r="J411" s="6"/>
      <c r="K411" s="6"/>
      <c r="L411" s="6"/>
      <c r="M411" s="6"/>
      <c r="N411" s="6"/>
      <c r="O411" s="6"/>
      <c r="P411" s="6"/>
      <c r="Q411" s="6"/>
    </row>
    <row r="412" spans="5:17" ht="16">
      <c r="E412" s="6"/>
      <c r="F412" s="6"/>
      <c r="G412" s="6"/>
      <c r="H412" s="6"/>
      <c r="I412" s="6"/>
      <c r="J412" s="6"/>
      <c r="K412" s="6"/>
      <c r="L412" s="6"/>
      <c r="M412" s="6"/>
      <c r="N412" s="6"/>
      <c r="O412" s="6"/>
      <c r="P412" s="6"/>
      <c r="Q412" s="6"/>
    </row>
    <row r="413" spans="5:17" ht="16">
      <c r="E413" s="6"/>
      <c r="F413" s="6"/>
      <c r="G413" s="6"/>
      <c r="H413" s="6"/>
      <c r="I413" s="6"/>
      <c r="J413" s="6"/>
      <c r="K413" s="6"/>
      <c r="L413" s="6"/>
      <c r="M413" s="6"/>
      <c r="N413" s="6"/>
      <c r="O413" s="6"/>
      <c r="P413" s="6"/>
      <c r="Q413" s="6"/>
    </row>
    <row r="414" spans="5:17" ht="16">
      <c r="E414" s="6"/>
      <c r="F414" s="6"/>
      <c r="G414" s="6"/>
      <c r="H414" s="6"/>
      <c r="I414" s="6"/>
      <c r="J414" s="6"/>
      <c r="K414" s="6"/>
      <c r="L414" s="6"/>
      <c r="M414" s="6"/>
      <c r="N414" s="6"/>
      <c r="O414" s="6"/>
      <c r="P414" s="6"/>
      <c r="Q414" s="6"/>
    </row>
    <row r="415" spans="5:17" ht="16">
      <c r="E415" s="6"/>
      <c r="F415" s="6"/>
      <c r="G415" s="6"/>
      <c r="H415" s="6"/>
      <c r="I415" s="6"/>
      <c r="J415" s="6"/>
      <c r="K415" s="6"/>
      <c r="L415" s="6"/>
      <c r="M415" s="6"/>
      <c r="N415" s="6"/>
      <c r="O415" s="6"/>
      <c r="P415" s="6"/>
      <c r="Q415" s="6"/>
    </row>
    <row r="416" spans="5:17" ht="16">
      <c r="E416" s="6"/>
      <c r="F416" s="6"/>
      <c r="G416" s="6"/>
      <c r="H416" s="6"/>
      <c r="I416" s="6"/>
      <c r="J416" s="6"/>
      <c r="K416" s="6"/>
      <c r="L416" s="6"/>
      <c r="M416" s="6"/>
      <c r="N416" s="6"/>
      <c r="O416" s="6"/>
      <c r="P416" s="6"/>
      <c r="Q416" s="6"/>
    </row>
    <row r="417" spans="5:17" ht="16">
      <c r="E417" s="6"/>
      <c r="F417" s="6"/>
      <c r="G417" s="6"/>
      <c r="H417" s="6"/>
      <c r="I417" s="6"/>
      <c r="J417" s="6"/>
      <c r="K417" s="6"/>
      <c r="L417" s="6"/>
      <c r="M417" s="6"/>
      <c r="N417" s="6"/>
      <c r="O417" s="6"/>
      <c r="P417" s="6"/>
      <c r="Q417" s="6"/>
    </row>
    <row r="418" spans="5:17" ht="16">
      <c r="E418" s="6"/>
      <c r="F418" s="6"/>
      <c r="G418" s="6"/>
      <c r="H418" s="6"/>
      <c r="I418" s="6"/>
      <c r="J418" s="6"/>
      <c r="K418" s="6"/>
      <c r="L418" s="6"/>
      <c r="M418" s="6"/>
      <c r="N418" s="6"/>
      <c r="O418" s="6"/>
      <c r="P418" s="6"/>
      <c r="Q418" s="6"/>
    </row>
    <row r="419" spans="5:17" ht="16">
      <c r="E419" s="6"/>
      <c r="F419" s="6"/>
      <c r="G419" s="6"/>
      <c r="H419" s="6"/>
      <c r="I419" s="6"/>
      <c r="J419" s="6"/>
      <c r="K419" s="6"/>
      <c r="L419" s="6"/>
      <c r="M419" s="6"/>
      <c r="N419" s="6"/>
      <c r="O419" s="6"/>
      <c r="P419" s="6"/>
      <c r="Q419" s="6"/>
    </row>
    <row r="420" spans="5:17" ht="16">
      <c r="E420" s="6"/>
      <c r="F420" s="6"/>
      <c r="G420" s="6"/>
      <c r="H420" s="6"/>
      <c r="I420" s="6"/>
      <c r="J420" s="6"/>
      <c r="K420" s="6"/>
      <c r="L420" s="6"/>
      <c r="M420" s="6"/>
      <c r="N420" s="6"/>
      <c r="O420" s="6"/>
      <c r="P420" s="6"/>
      <c r="Q420" s="6"/>
    </row>
    <row r="421" spans="5:17" ht="16">
      <c r="E421" s="6"/>
      <c r="F421" s="6"/>
      <c r="G421" s="6"/>
      <c r="H421" s="6"/>
      <c r="I421" s="6"/>
      <c r="J421" s="6"/>
      <c r="K421" s="6"/>
      <c r="L421" s="6"/>
      <c r="M421" s="6"/>
      <c r="N421" s="6"/>
      <c r="O421" s="6"/>
      <c r="P421" s="6"/>
      <c r="Q421" s="6"/>
    </row>
    <row r="422" spans="5:17" ht="16">
      <c r="E422" s="6"/>
      <c r="F422" s="6"/>
      <c r="G422" s="6"/>
      <c r="H422" s="6"/>
      <c r="I422" s="6"/>
      <c r="J422" s="6"/>
      <c r="K422" s="6"/>
      <c r="L422" s="6"/>
      <c r="M422" s="6"/>
      <c r="N422" s="6"/>
      <c r="O422" s="6"/>
      <c r="P422" s="6"/>
      <c r="Q422" s="6"/>
    </row>
    <row r="423" spans="5:17" ht="16">
      <c r="E423" s="6"/>
      <c r="F423" s="6"/>
      <c r="G423" s="6"/>
      <c r="H423" s="6"/>
      <c r="I423" s="6"/>
      <c r="J423" s="6"/>
      <c r="K423" s="6"/>
      <c r="L423" s="6"/>
      <c r="M423" s="6"/>
      <c r="N423" s="6"/>
      <c r="O423" s="6"/>
      <c r="P423" s="6"/>
      <c r="Q423" s="6"/>
    </row>
    <row r="424" spans="5:17" ht="16">
      <c r="E424" s="6"/>
      <c r="F424" s="6"/>
      <c r="G424" s="6"/>
      <c r="H424" s="6"/>
      <c r="I424" s="6"/>
      <c r="J424" s="6"/>
      <c r="K424" s="6"/>
      <c r="L424" s="6"/>
      <c r="M424" s="6"/>
      <c r="N424" s="6"/>
      <c r="O424" s="6"/>
      <c r="P424" s="6"/>
      <c r="Q424" s="6"/>
    </row>
    <row r="425" spans="5:17" ht="16">
      <c r="E425" s="6"/>
      <c r="F425" s="6"/>
      <c r="G425" s="6"/>
      <c r="H425" s="6"/>
      <c r="I425" s="6"/>
      <c r="J425" s="6"/>
      <c r="K425" s="6"/>
      <c r="L425" s="6"/>
      <c r="M425" s="6"/>
      <c r="N425" s="6"/>
      <c r="O425" s="6"/>
      <c r="P425" s="6"/>
      <c r="Q425" s="6"/>
    </row>
    <row r="426" spans="5:17" ht="16">
      <c r="E426" s="6"/>
      <c r="F426" s="6"/>
      <c r="G426" s="6"/>
      <c r="H426" s="6"/>
      <c r="I426" s="6"/>
      <c r="J426" s="6"/>
      <c r="K426" s="6"/>
      <c r="L426" s="6"/>
      <c r="M426" s="6"/>
      <c r="N426" s="6"/>
      <c r="O426" s="6"/>
      <c r="P426" s="6"/>
      <c r="Q426" s="6"/>
    </row>
    <row r="427" spans="5:17" ht="16">
      <c r="E427" s="6"/>
      <c r="F427" s="6"/>
      <c r="G427" s="6"/>
      <c r="H427" s="6"/>
      <c r="I427" s="6"/>
      <c r="J427" s="6"/>
      <c r="K427" s="6"/>
      <c r="L427" s="6"/>
      <c r="M427" s="6"/>
      <c r="N427" s="6"/>
      <c r="O427" s="6"/>
      <c r="P427" s="6"/>
      <c r="Q427" s="6"/>
    </row>
    <row r="428" spans="5:17" ht="16">
      <c r="E428" s="6"/>
      <c r="F428" s="6"/>
      <c r="G428" s="6"/>
      <c r="H428" s="6"/>
      <c r="I428" s="6"/>
      <c r="J428" s="6"/>
      <c r="K428" s="6"/>
      <c r="L428" s="6"/>
      <c r="M428" s="6"/>
      <c r="N428" s="6"/>
      <c r="O428" s="6"/>
      <c r="P428" s="6"/>
      <c r="Q428" s="6"/>
    </row>
    <row r="429" spans="5:17" ht="16">
      <c r="E429" s="6"/>
      <c r="F429" s="6"/>
      <c r="G429" s="6"/>
      <c r="H429" s="6"/>
      <c r="I429" s="6"/>
      <c r="J429" s="6"/>
      <c r="K429" s="6"/>
      <c r="L429" s="6"/>
      <c r="M429" s="6"/>
      <c r="N429" s="6"/>
      <c r="O429" s="6"/>
      <c r="P429" s="6"/>
      <c r="Q429" s="6"/>
    </row>
    <row r="430" spans="5:17" ht="16">
      <c r="E430" s="6"/>
      <c r="F430" s="6"/>
      <c r="G430" s="6"/>
      <c r="H430" s="6"/>
      <c r="I430" s="6"/>
      <c r="J430" s="6"/>
      <c r="K430" s="6"/>
      <c r="L430" s="6"/>
      <c r="M430" s="6"/>
      <c r="N430" s="6"/>
      <c r="O430" s="6"/>
      <c r="P430" s="6"/>
      <c r="Q430" s="6"/>
    </row>
    <row r="431" spans="5:17" ht="16">
      <c r="E431" s="6"/>
      <c r="F431" s="6"/>
      <c r="G431" s="6"/>
      <c r="H431" s="6"/>
      <c r="I431" s="6"/>
      <c r="J431" s="6"/>
      <c r="K431" s="6"/>
      <c r="L431" s="6"/>
      <c r="M431" s="6"/>
      <c r="N431" s="6"/>
      <c r="O431" s="6"/>
      <c r="P431" s="6"/>
      <c r="Q431" s="6"/>
    </row>
    <row r="432" spans="5:17" ht="16">
      <c r="E432" s="6"/>
      <c r="F432" s="6"/>
      <c r="G432" s="6"/>
      <c r="H432" s="6"/>
      <c r="I432" s="6"/>
      <c r="J432" s="6"/>
      <c r="K432" s="6"/>
      <c r="L432" s="6"/>
      <c r="M432" s="6"/>
      <c r="N432" s="6"/>
      <c r="O432" s="6"/>
      <c r="P432" s="6"/>
      <c r="Q432" s="6"/>
    </row>
    <row r="433" spans="5:17" ht="16">
      <c r="E433" s="6"/>
      <c r="F433" s="6"/>
      <c r="G433" s="6"/>
      <c r="H433" s="6"/>
      <c r="I433" s="6"/>
      <c r="J433" s="6"/>
      <c r="K433" s="6"/>
      <c r="L433" s="6"/>
      <c r="M433" s="6"/>
      <c r="N433" s="6"/>
      <c r="O433" s="6"/>
      <c r="P433" s="6"/>
      <c r="Q433" s="6"/>
    </row>
    <row r="434" spans="5:17" ht="16">
      <c r="E434" s="6"/>
      <c r="F434" s="6"/>
      <c r="G434" s="6"/>
      <c r="H434" s="6"/>
      <c r="I434" s="6"/>
      <c r="J434" s="6"/>
      <c r="K434" s="6"/>
      <c r="L434" s="6"/>
      <c r="M434" s="6"/>
      <c r="N434" s="6"/>
      <c r="O434" s="6"/>
      <c r="P434" s="6"/>
      <c r="Q434" s="6"/>
    </row>
    <row r="435" spans="5:17" ht="16">
      <c r="E435" s="6"/>
      <c r="F435" s="6"/>
      <c r="G435" s="6"/>
      <c r="H435" s="6"/>
      <c r="I435" s="6"/>
      <c r="J435" s="6"/>
      <c r="K435" s="6"/>
      <c r="L435" s="6"/>
      <c r="M435" s="6"/>
      <c r="N435" s="6"/>
      <c r="O435" s="6"/>
      <c r="P435" s="6"/>
      <c r="Q435" s="6"/>
    </row>
    <row r="436" spans="5:17" ht="16">
      <c r="E436" s="6"/>
      <c r="F436" s="6"/>
      <c r="G436" s="6"/>
      <c r="H436" s="6"/>
      <c r="I436" s="6"/>
      <c r="J436" s="6"/>
      <c r="K436" s="6"/>
      <c r="L436" s="6"/>
      <c r="M436" s="6"/>
      <c r="N436" s="6"/>
      <c r="O436" s="6"/>
      <c r="P436" s="6"/>
      <c r="Q436" s="6"/>
    </row>
    <row r="437" spans="5:17" ht="16">
      <c r="E437" s="6"/>
      <c r="F437" s="6"/>
      <c r="G437" s="6"/>
      <c r="H437" s="6"/>
      <c r="I437" s="6"/>
      <c r="J437" s="6"/>
      <c r="K437" s="6"/>
      <c r="L437" s="6"/>
      <c r="M437" s="6"/>
      <c r="N437" s="6"/>
      <c r="O437" s="6"/>
      <c r="P437" s="6"/>
      <c r="Q437" s="6"/>
    </row>
    <row r="438" spans="5:17" ht="16">
      <c r="E438" s="6"/>
      <c r="F438" s="6"/>
      <c r="G438" s="6"/>
      <c r="H438" s="6"/>
      <c r="I438" s="6"/>
      <c r="J438" s="6"/>
      <c r="K438" s="6"/>
      <c r="L438" s="6"/>
      <c r="M438" s="6"/>
      <c r="N438" s="6"/>
      <c r="O438" s="6"/>
      <c r="P438" s="6"/>
      <c r="Q438" s="6"/>
    </row>
    <row r="439" spans="5:17" ht="16">
      <c r="E439" s="6"/>
      <c r="F439" s="6"/>
      <c r="G439" s="6"/>
      <c r="H439" s="6"/>
      <c r="I439" s="6"/>
      <c r="J439" s="6"/>
      <c r="K439" s="6"/>
      <c r="L439" s="6"/>
      <c r="M439" s="6"/>
      <c r="N439" s="6"/>
      <c r="O439" s="6"/>
      <c r="P439" s="6"/>
      <c r="Q439" s="6"/>
    </row>
    <row r="440" spans="5:17" ht="16">
      <c r="E440" s="6"/>
      <c r="F440" s="6"/>
      <c r="G440" s="6"/>
      <c r="H440" s="6"/>
      <c r="I440" s="6"/>
      <c r="J440" s="6"/>
      <c r="K440" s="6"/>
      <c r="L440" s="6"/>
      <c r="M440" s="6"/>
      <c r="N440" s="6"/>
      <c r="O440" s="6"/>
      <c r="P440" s="6"/>
      <c r="Q440" s="6"/>
    </row>
    <row r="441" spans="5:17" ht="16">
      <c r="E441" s="6"/>
      <c r="F441" s="6"/>
      <c r="G441" s="6"/>
      <c r="H441" s="6"/>
      <c r="I441" s="6"/>
      <c r="J441" s="6"/>
      <c r="K441" s="6"/>
      <c r="L441" s="6"/>
      <c r="M441" s="6"/>
      <c r="N441" s="6"/>
      <c r="O441" s="6"/>
      <c r="P441" s="6"/>
      <c r="Q441" s="6"/>
    </row>
    <row r="442" spans="5:17" ht="16">
      <c r="E442" s="6"/>
      <c r="F442" s="6"/>
      <c r="G442" s="6"/>
      <c r="H442" s="6"/>
      <c r="I442" s="6"/>
      <c r="J442" s="6"/>
      <c r="K442" s="6"/>
      <c r="L442" s="6"/>
      <c r="M442" s="6"/>
      <c r="N442" s="6"/>
      <c r="O442" s="6"/>
      <c r="P442" s="6"/>
      <c r="Q442" s="6"/>
    </row>
    <row r="443" spans="5:17" ht="16">
      <c r="E443" s="6"/>
      <c r="F443" s="6"/>
      <c r="G443" s="6"/>
      <c r="H443" s="6"/>
      <c r="I443" s="6"/>
      <c r="J443" s="6"/>
      <c r="K443" s="6"/>
      <c r="L443" s="6"/>
      <c r="M443" s="6"/>
      <c r="N443" s="6"/>
      <c r="O443" s="6"/>
      <c r="P443" s="6"/>
      <c r="Q443" s="6"/>
    </row>
    <row r="444" spans="5:17" ht="16">
      <c r="E444" s="6"/>
      <c r="F444" s="6"/>
      <c r="G444" s="6"/>
      <c r="H444" s="6"/>
      <c r="I444" s="6"/>
      <c r="J444" s="6"/>
      <c r="K444" s="6"/>
      <c r="L444" s="6"/>
      <c r="M444" s="6"/>
      <c r="N444" s="6"/>
      <c r="O444" s="6"/>
      <c r="P444" s="6"/>
      <c r="Q444" s="6"/>
    </row>
    <row r="445" spans="5:17" ht="16">
      <c r="E445" s="6"/>
      <c r="F445" s="6"/>
      <c r="G445" s="6"/>
      <c r="H445" s="6"/>
      <c r="I445" s="6"/>
      <c r="J445" s="6"/>
      <c r="K445" s="6"/>
      <c r="L445" s="6"/>
      <c r="M445" s="6"/>
      <c r="N445" s="6"/>
      <c r="O445" s="6"/>
      <c r="P445" s="6"/>
      <c r="Q445" s="6"/>
    </row>
    <row r="446" spans="5:17" ht="16">
      <c r="E446" s="6"/>
      <c r="F446" s="6"/>
      <c r="G446" s="6"/>
      <c r="H446" s="6"/>
      <c r="I446" s="6"/>
      <c r="J446" s="6"/>
      <c r="K446" s="6"/>
      <c r="L446" s="6"/>
      <c r="M446" s="6"/>
      <c r="N446" s="6"/>
      <c r="O446" s="6"/>
      <c r="P446" s="6"/>
      <c r="Q446" s="6"/>
    </row>
    <row r="447" spans="5:17" ht="16">
      <c r="E447" s="6"/>
      <c r="F447" s="6"/>
      <c r="G447" s="6"/>
      <c r="H447" s="6"/>
      <c r="I447" s="6"/>
      <c r="J447" s="6"/>
      <c r="K447" s="6"/>
      <c r="L447" s="6"/>
      <c r="M447" s="6"/>
      <c r="N447" s="6"/>
      <c r="O447" s="6"/>
      <c r="P447" s="6"/>
      <c r="Q447" s="6"/>
    </row>
    <row r="448" spans="5:17" ht="16">
      <c r="E448" s="6"/>
      <c r="F448" s="6"/>
      <c r="G448" s="6"/>
      <c r="H448" s="6"/>
      <c r="I448" s="6"/>
      <c r="J448" s="6"/>
      <c r="K448" s="6"/>
      <c r="L448" s="6"/>
      <c r="M448" s="6"/>
      <c r="N448" s="6"/>
      <c r="O448" s="6"/>
      <c r="P448" s="6"/>
      <c r="Q448" s="6"/>
    </row>
    <row r="449" spans="5:17" ht="16">
      <c r="E449" s="6"/>
      <c r="F449" s="6"/>
      <c r="G449" s="6"/>
      <c r="H449" s="6"/>
      <c r="I449" s="6"/>
      <c r="J449" s="6"/>
      <c r="K449" s="6"/>
      <c r="L449" s="6"/>
      <c r="M449" s="6"/>
      <c r="N449" s="6"/>
      <c r="O449" s="6"/>
      <c r="P449" s="6"/>
      <c r="Q449" s="6"/>
    </row>
    <row r="450" spans="5:17" ht="16">
      <c r="E450" s="6"/>
      <c r="F450" s="6"/>
      <c r="G450" s="6"/>
      <c r="H450" s="6"/>
      <c r="I450" s="6"/>
      <c r="J450" s="6"/>
      <c r="K450" s="6"/>
      <c r="L450" s="6"/>
      <c r="M450" s="6"/>
      <c r="N450" s="6"/>
      <c r="O450" s="6"/>
      <c r="P450" s="6"/>
      <c r="Q450" s="6"/>
    </row>
    <row r="451" spans="5:17" ht="16">
      <c r="E451" s="6"/>
      <c r="F451" s="6"/>
      <c r="G451" s="6"/>
      <c r="H451" s="6"/>
      <c r="I451" s="6"/>
      <c r="J451" s="6"/>
      <c r="K451" s="6"/>
      <c r="L451" s="6"/>
      <c r="M451" s="6"/>
      <c r="N451" s="6"/>
      <c r="O451" s="6"/>
      <c r="P451" s="6"/>
      <c r="Q451" s="6"/>
    </row>
    <row r="452" spans="5:17" ht="16">
      <c r="E452" s="6"/>
      <c r="F452" s="6"/>
      <c r="G452" s="6"/>
      <c r="H452" s="6"/>
      <c r="I452" s="6"/>
      <c r="J452" s="6"/>
      <c r="K452" s="6"/>
      <c r="L452" s="6"/>
      <c r="M452" s="6"/>
      <c r="N452" s="6"/>
      <c r="O452" s="6"/>
      <c r="P452" s="6"/>
      <c r="Q452" s="6"/>
    </row>
    <row r="453" spans="5:17" ht="16">
      <c r="E453" s="6"/>
      <c r="F453" s="6"/>
      <c r="G453" s="6"/>
      <c r="H453" s="6"/>
      <c r="I453" s="6"/>
      <c r="J453" s="6"/>
      <c r="K453" s="6"/>
      <c r="L453" s="6"/>
      <c r="M453" s="6"/>
      <c r="N453" s="6"/>
      <c r="O453" s="6"/>
      <c r="P453" s="6"/>
      <c r="Q453" s="6"/>
    </row>
    <row r="454" spans="5:17" ht="16">
      <c r="E454" s="6"/>
      <c r="F454" s="6"/>
      <c r="G454" s="6"/>
      <c r="H454" s="6"/>
      <c r="I454" s="6"/>
      <c r="J454" s="6"/>
      <c r="K454" s="6"/>
      <c r="L454" s="6"/>
      <c r="M454" s="6"/>
      <c r="N454" s="6"/>
      <c r="O454" s="6"/>
      <c r="P454" s="6"/>
      <c r="Q454" s="6"/>
    </row>
    <row r="455" spans="5:17" ht="16">
      <c r="E455" s="6"/>
      <c r="F455" s="6"/>
      <c r="G455" s="6"/>
      <c r="H455" s="6"/>
      <c r="I455" s="6"/>
      <c r="J455" s="6"/>
      <c r="K455" s="6"/>
      <c r="L455" s="6"/>
      <c r="M455" s="6"/>
      <c r="N455" s="6"/>
      <c r="O455" s="6"/>
      <c r="P455" s="6"/>
      <c r="Q455" s="6"/>
    </row>
    <row r="456" spans="5:17" ht="16">
      <c r="E456" s="6"/>
      <c r="F456" s="6"/>
      <c r="G456" s="6"/>
      <c r="H456" s="6"/>
      <c r="I456" s="6"/>
      <c r="J456" s="6"/>
      <c r="K456" s="6"/>
      <c r="L456" s="6"/>
      <c r="M456" s="6"/>
      <c r="N456" s="6"/>
      <c r="O456" s="6"/>
      <c r="P456" s="6"/>
      <c r="Q456" s="6"/>
    </row>
    <row r="457" spans="5:17" ht="16">
      <c r="E457" s="6"/>
      <c r="F457" s="6"/>
      <c r="G457" s="6"/>
      <c r="H457" s="6"/>
      <c r="I457" s="6"/>
      <c r="J457" s="6"/>
      <c r="K457" s="6"/>
      <c r="L457" s="6"/>
      <c r="M457" s="6"/>
      <c r="N457" s="6"/>
      <c r="O457" s="6"/>
      <c r="P457" s="6"/>
      <c r="Q457" s="6"/>
    </row>
    <row r="458" spans="5:17" ht="16">
      <c r="E458" s="6"/>
      <c r="F458" s="6"/>
      <c r="G458" s="6"/>
      <c r="H458" s="6"/>
      <c r="I458" s="6"/>
      <c r="J458" s="6"/>
      <c r="K458" s="6"/>
      <c r="L458" s="6"/>
      <c r="M458" s="6"/>
      <c r="N458" s="6"/>
      <c r="O458" s="6"/>
      <c r="P458" s="6"/>
      <c r="Q458" s="6"/>
    </row>
    <row r="459" spans="5:17" ht="16">
      <c r="E459" s="6"/>
      <c r="F459" s="6"/>
      <c r="G459" s="6"/>
      <c r="H459" s="6"/>
      <c r="I459" s="6"/>
      <c r="J459" s="6"/>
      <c r="K459" s="6"/>
      <c r="L459" s="6"/>
      <c r="M459" s="6"/>
      <c r="N459" s="6"/>
      <c r="O459" s="6"/>
      <c r="P459" s="6"/>
      <c r="Q459" s="6"/>
    </row>
    <row r="460" spans="5:17" ht="16">
      <c r="E460" s="6"/>
      <c r="F460" s="6"/>
      <c r="G460" s="6"/>
      <c r="H460" s="6"/>
      <c r="I460" s="6"/>
      <c r="J460" s="6"/>
      <c r="K460" s="6"/>
      <c r="L460" s="6"/>
      <c r="M460" s="6"/>
      <c r="N460" s="6"/>
      <c r="O460" s="6"/>
      <c r="P460" s="6"/>
      <c r="Q460" s="6"/>
    </row>
    <row r="461" spans="5:17" ht="16">
      <c r="E461" s="6"/>
      <c r="F461" s="6"/>
      <c r="G461" s="6"/>
      <c r="H461" s="6"/>
      <c r="I461" s="6"/>
      <c r="J461" s="6"/>
      <c r="K461" s="6"/>
      <c r="L461" s="6"/>
      <c r="M461" s="6"/>
      <c r="N461" s="6"/>
      <c r="O461" s="6"/>
      <c r="P461" s="6"/>
      <c r="Q461" s="6"/>
    </row>
    <row r="462" spans="5:17" ht="16">
      <c r="E462" s="6"/>
      <c r="F462" s="6"/>
      <c r="G462" s="6"/>
      <c r="H462" s="6"/>
      <c r="I462" s="6"/>
      <c r="J462" s="6"/>
      <c r="K462" s="6"/>
      <c r="L462" s="6"/>
      <c r="M462" s="6"/>
      <c r="N462" s="6"/>
      <c r="O462" s="6"/>
      <c r="P462" s="6"/>
      <c r="Q462" s="6"/>
    </row>
    <row r="463" spans="5:17" ht="16">
      <c r="E463" s="6"/>
      <c r="F463" s="6"/>
      <c r="G463" s="6"/>
      <c r="H463" s="6"/>
      <c r="I463" s="6"/>
      <c r="J463" s="6"/>
      <c r="K463" s="6"/>
      <c r="L463" s="6"/>
      <c r="M463" s="6"/>
      <c r="N463" s="6"/>
      <c r="O463" s="6"/>
      <c r="P463" s="6"/>
      <c r="Q463" s="6"/>
    </row>
    <row r="464" spans="5:17" ht="16">
      <c r="E464" s="6"/>
      <c r="F464" s="6"/>
      <c r="G464" s="6"/>
      <c r="H464" s="6"/>
      <c r="I464" s="6"/>
      <c r="J464" s="6"/>
      <c r="K464" s="6"/>
      <c r="L464" s="6"/>
      <c r="M464" s="6"/>
      <c r="N464" s="6"/>
      <c r="O464" s="6"/>
      <c r="P464" s="6"/>
      <c r="Q464" s="6"/>
    </row>
    <row r="465" spans="5:17" ht="16">
      <c r="E465" s="6"/>
      <c r="F465" s="6"/>
      <c r="G465" s="6"/>
      <c r="H465" s="6"/>
      <c r="I465" s="6"/>
      <c r="J465" s="6"/>
      <c r="K465" s="6"/>
      <c r="L465" s="6"/>
      <c r="M465" s="6"/>
      <c r="N465" s="6"/>
      <c r="O465" s="6"/>
      <c r="P465" s="6"/>
      <c r="Q465" s="6"/>
    </row>
    <row r="466" spans="5:17" ht="16">
      <c r="E466" s="6"/>
      <c r="F466" s="6"/>
      <c r="G466" s="6"/>
      <c r="H466" s="6"/>
      <c r="I466" s="6"/>
      <c r="J466" s="6"/>
      <c r="K466" s="6"/>
      <c r="L466" s="6"/>
      <c r="M466" s="6"/>
      <c r="N466" s="6"/>
      <c r="O466" s="6"/>
      <c r="P466" s="6"/>
      <c r="Q466" s="6"/>
    </row>
    <row r="467" spans="5:17" ht="16">
      <c r="E467" s="6"/>
      <c r="F467" s="6"/>
      <c r="G467" s="6"/>
      <c r="H467" s="6"/>
      <c r="I467" s="6"/>
      <c r="J467" s="6"/>
      <c r="K467" s="6"/>
      <c r="L467" s="6"/>
      <c r="M467" s="6"/>
      <c r="N467" s="6"/>
      <c r="O467" s="6"/>
      <c r="P467" s="6"/>
      <c r="Q467" s="6"/>
    </row>
    <row r="468" spans="5:17" ht="16">
      <c r="E468" s="6"/>
      <c r="F468" s="6"/>
      <c r="G468" s="6"/>
      <c r="H468" s="6"/>
      <c r="I468" s="6"/>
      <c r="J468" s="6"/>
      <c r="K468" s="6"/>
      <c r="L468" s="6"/>
      <c r="M468" s="6"/>
      <c r="N468" s="6"/>
      <c r="O468" s="6"/>
      <c r="P468" s="6"/>
      <c r="Q468" s="6"/>
    </row>
    <row r="469" spans="5:17" ht="16">
      <c r="E469" s="6"/>
      <c r="F469" s="6"/>
      <c r="G469" s="6"/>
      <c r="H469" s="6"/>
      <c r="I469" s="6"/>
      <c r="J469" s="6"/>
      <c r="K469" s="6"/>
      <c r="L469" s="6"/>
      <c r="M469" s="6"/>
      <c r="N469" s="6"/>
      <c r="O469" s="6"/>
      <c r="P469" s="6"/>
      <c r="Q469" s="6"/>
    </row>
    <row r="470" spans="5:17" ht="16">
      <c r="E470" s="6"/>
      <c r="F470" s="6"/>
      <c r="G470" s="6"/>
      <c r="H470" s="6"/>
      <c r="I470" s="6"/>
      <c r="J470" s="6"/>
      <c r="K470" s="6"/>
      <c r="L470" s="6"/>
      <c r="M470" s="6"/>
      <c r="N470" s="6"/>
      <c r="O470" s="6"/>
      <c r="P470" s="6"/>
      <c r="Q470" s="6"/>
    </row>
    <row r="471" spans="5:17" ht="16">
      <c r="E471" s="6"/>
      <c r="F471" s="6"/>
      <c r="G471" s="6"/>
      <c r="H471" s="6"/>
      <c r="I471" s="6"/>
      <c r="J471" s="6"/>
      <c r="K471" s="6"/>
      <c r="L471" s="6"/>
      <c r="M471" s="6"/>
      <c r="N471" s="6"/>
      <c r="O471" s="6"/>
      <c r="P471" s="6"/>
      <c r="Q471" s="6"/>
    </row>
    <row r="472" spans="5:17" ht="16">
      <c r="E472" s="6"/>
      <c r="F472" s="6"/>
      <c r="G472" s="6"/>
      <c r="H472" s="6"/>
      <c r="I472" s="6"/>
      <c r="J472" s="6"/>
      <c r="K472" s="6"/>
      <c r="L472" s="6"/>
      <c r="M472" s="6"/>
      <c r="N472" s="6"/>
      <c r="O472" s="6"/>
      <c r="P472" s="6"/>
      <c r="Q472" s="6"/>
    </row>
    <row r="473" spans="5:17" ht="16">
      <c r="E473" s="6"/>
      <c r="F473" s="6"/>
      <c r="G473" s="6"/>
      <c r="H473" s="6"/>
      <c r="I473" s="6"/>
      <c r="J473" s="6"/>
      <c r="K473" s="6"/>
      <c r="L473" s="6"/>
      <c r="M473" s="6"/>
      <c r="N473" s="6"/>
      <c r="O473" s="6"/>
      <c r="P473" s="6"/>
      <c r="Q473" s="6"/>
    </row>
    <row r="474" spans="5:17" ht="16">
      <c r="E474" s="6"/>
      <c r="F474" s="6"/>
      <c r="G474" s="6"/>
      <c r="H474" s="6"/>
      <c r="I474" s="6"/>
      <c r="J474" s="6"/>
      <c r="K474" s="6"/>
      <c r="L474" s="6"/>
      <c r="M474" s="6"/>
      <c r="N474" s="6"/>
      <c r="O474" s="6"/>
      <c r="P474" s="6"/>
      <c r="Q474" s="6"/>
    </row>
    <row r="475" spans="5:17" ht="16">
      <c r="E475" s="6"/>
      <c r="F475" s="6"/>
      <c r="G475" s="6"/>
      <c r="H475" s="6"/>
      <c r="I475" s="6"/>
      <c r="J475" s="6"/>
      <c r="K475" s="6"/>
      <c r="L475" s="6"/>
      <c r="M475" s="6"/>
      <c r="N475" s="6"/>
      <c r="O475" s="6"/>
      <c r="P475" s="6"/>
      <c r="Q475" s="6"/>
    </row>
    <row r="476" spans="5:17" ht="16">
      <c r="E476" s="6"/>
      <c r="F476" s="6"/>
      <c r="G476" s="6"/>
      <c r="H476" s="6"/>
      <c r="I476" s="6"/>
      <c r="J476" s="6"/>
      <c r="K476" s="6"/>
      <c r="L476" s="6"/>
      <c r="M476" s="6"/>
      <c r="N476" s="6"/>
      <c r="O476" s="6"/>
      <c r="P476" s="6"/>
      <c r="Q476" s="6"/>
    </row>
    <row r="477" spans="5:17" ht="16">
      <c r="E477" s="6"/>
      <c r="F477" s="6"/>
      <c r="G477" s="6"/>
      <c r="H477" s="6"/>
      <c r="I477" s="6"/>
      <c r="J477" s="6"/>
      <c r="K477" s="6"/>
      <c r="L477" s="6"/>
      <c r="M477" s="6"/>
      <c r="N477" s="6"/>
      <c r="O477" s="6"/>
      <c r="P477" s="6"/>
      <c r="Q477" s="6"/>
    </row>
    <row r="478" spans="5:17" ht="16">
      <c r="E478" s="6"/>
      <c r="F478" s="6"/>
      <c r="G478" s="6"/>
      <c r="H478" s="6"/>
      <c r="I478" s="6"/>
      <c r="J478" s="6"/>
      <c r="K478" s="6"/>
      <c r="L478" s="6"/>
      <c r="M478" s="6"/>
      <c r="N478" s="6"/>
      <c r="O478" s="6"/>
      <c r="P478" s="6"/>
      <c r="Q478" s="6"/>
    </row>
    <row r="479" spans="5:17" ht="16">
      <c r="E479" s="6"/>
      <c r="F479" s="6"/>
      <c r="G479" s="6"/>
      <c r="H479" s="6"/>
      <c r="I479" s="6"/>
      <c r="J479" s="6"/>
      <c r="K479" s="6"/>
      <c r="L479" s="6"/>
      <c r="M479" s="6"/>
      <c r="N479" s="6"/>
      <c r="O479" s="6"/>
      <c r="P479" s="6"/>
      <c r="Q479" s="6"/>
    </row>
    <row r="480" spans="5:17" ht="16">
      <c r="E480" s="6"/>
      <c r="F480" s="6"/>
      <c r="G480" s="6"/>
      <c r="H480" s="6"/>
      <c r="I480" s="6"/>
      <c r="J480" s="6"/>
      <c r="K480" s="6"/>
      <c r="L480" s="6"/>
      <c r="M480" s="6"/>
      <c r="N480" s="6"/>
      <c r="O480" s="6"/>
      <c r="P480" s="6"/>
      <c r="Q480" s="6"/>
    </row>
    <row r="481" spans="5:17" ht="16">
      <c r="E481" s="6"/>
      <c r="F481" s="6"/>
      <c r="G481" s="6"/>
      <c r="H481" s="6"/>
      <c r="I481" s="6"/>
      <c r="J481" s="6"/>
      <c r="K481" s="6"/>
      <c r="L481" s="6"/>
      <c r="M481" s="6"/>
      <c r="N481" s="6"/>
      <c r="O481" s="6"/>
      <c r="P481" s="6"/>
      <c r="Q481" s="6"/>
    </row>
    <row r="482" spans="5:17" ht="16">
      <c r="E482" s="6"/>
      <c r="F482" s="6"/>
      <c r="G482" s="6"/>
      <c r="H482" s="6"/>
      <c r="I482" s="6"/>
      <c r="J482" s="6"/>
      <c r="K482" s="6"/>
      <c r="L482" s="6"/>
      <c r="M482" s="6"/>
      <c r="N482" s="6"/>
      <c r="O482" s="6"/>
      <c r="P482" s="6"/>
      <c r="Q482" s="6"/>
    </row>
    <row r="483" spans="5:17" ht="16">
      <c r="E483" s="6"/>
      <c r="F483" s="6"/>
      <c r="G483" s="6"/>
      <c r="H483" s="6"/>
      <c r="I483" s="6"/>
      <c r="J483" s="6"/>
      <c r="K483" s="6"/>
      <c r="L483" s="6"/>
      <c r="M483" s="6"/>
      <c r="N483" s="6"/>
      <c r="O483" s="6"/>
      <c r="P483" s="6"/>
      <c r="Q483" s="6"/>
    </row>
    <row r="484" spans="5:17" ht="16">
      <c r="E484" s="6"/>
      <c r="F484" s="6"/>
      <c r="G484" s="6"/>
      <c r="H484" s="6"/>
      <c r="I484" s="6"/>
      <c r="J484" s="6"/>
      <c r="K484" s="6"/>
      <c r="L484" s="6"/>
      <c r="M484" s="6"/>
      <c r="N484" s="6"/>
      <c r="O484" s="6"/>
      <c r="P484" s="6"/>
      <c r="Q484" s="6"/>
    </row>
    <row r="485" spans="5:17" ht="16">
      <c r="E485" s="6"/>
      <c r="F485" s="6"/>
      <c r="G485" s="6"/>
      <c r="H485" s="6"/>
      <c r="I485" s="6"/>
      <c r="J485" s="6"/>
      <c r="K485" s="6"/>
      <c r="L485" s="6"/>
      <c r="M485" s="6"/>
      <c r="N485" s="6"/>
      <c r="O485" s="6"/>
      <c r="P485" s="6"/>
      <c r="Q485" s="6"/>
    </row>
    <row r="486" spans="5:17" ht="16">
      <c r="E486" s="6"/>
      <c r="F486" s="6"/>
      <c r="G486" s="6"/>
      <c r="H486" s="6"/>
      <c r="I486" s="6"/>
      <c r="J486" s="6"/>
      <c r="K486" s="6"/>
      <c r="L486" s="6"/>
      <c r="M486" s="6"/>
      <c r="N486" s="6"/>
      <c r="O486" s="6"/>
      <c r="P486" s="6"/>
      <c r="Q486" s="6"/>
    </row>
    <row r="487" spans="5:17" ht="16">
      <c r="E487" s="6"/>
      <c r="F487" s="6"/>
      <c r="G487" s="6"/>
      <c r="H487" s="6"/>
      <c r="I487" s="6"/>
      <c r="J487" s="6"/>
      <c r="K487" s="6"/>
      <c r="L487" s="6"/>
      <c r="M487" s="6"/>
      <c r="N487" s="6"/>
      <c r="O487" s="6"/>
      <c r="P487" s="6"/>
      <c r="Q487" s="6"/>
    </row>
    <row r="488" spans="5:17" ht="16">
      <c r="E488" s="6"/>
      <c r="F488" s="6"/>
      <c r="G488" s="6"/>
      <c r="H488" s="6"/>
      <c r="I488" s="6"/>
      <c r="J488" s="6"/>
      <c r="K488" s="6"/>
      <c r="L488" s="6"/>
      <c r="M488" s="6"/>
      <c r="N488" s="6"/>
      <c r="O488" s="6"/>
      <c r="P488" s="6"/>
      <c r="Q488" s="6"/>
    </row>
    <row r="489" spans="5:17" ht="16">
      <c r="E489" s="6"/>
      <c r="F489" s="6"/>
      <c r="G489" s="6"/>
      <c r="H489" s="6"/>
      <c r="I489" s="6"/>
      <c r="J489" s="6"/>
      <c r="K489" s="6"/>
      <c r="L489" s="6"/>
      <c r="M489" s="6"/>
      <c r="N489" s="6"/>
      <c r="O489" s="6"/>
      <c r="P489" s="6"/>
      <c r="Q489" s="6"/>
    </row>
    <row r="490" spans="5:17" ht="16">
      <c r="E490" s="6"/>
      <c r="F490" s="6"/>
      <c r="G490" s="6"/>
      <c r="H490" s="6"/>
      <c r="I490" s="6"/>
      <c r="J490" s="6"/>
      <c r="K490" s="6"/>
      <c r="L490" s="6"/>
      <c r="M490" s="6"/>
      <c r="N490" s="6"/>
      <c r="O490" s="6"/>
      <c r="P490" s="6"/>
      <c r="Q490" s="6"/>
    </row>
    <row r="491" spans="5:17" ht="16">
      <c r="E491" s="6"/>
      <c r="F491" s="6"/>
      <c r="G491" s="6"/>
      <c r="H491" s="6"/>
      <c r="I491" s="6"/>
      <c r="J491" s="6"/>
      <c r="K491" s="6"/>
      <c r="L491" s="6"/>
      <c r="M491" s="6"/>
      <c r="N491" s="6"/>
      <c r="O491" s="6"/>
      <c r="P491" s="6"/>
      <c r="Q491" s="6"/>
    </row>
    <row r="492" spans="5:17" ht="16">
      <c r="E492" s="6"/>
      <c r="F492" s="6"/>
      <c r="G492" s="6"/>
      <c r="H492" s="6"/>
      <c r="I492" s="6"/>
      <c r="J492" s="6"/>
      <c r="K492" s="6"/>
      <c r="L492" s="6"/>
      <c r="M492" s="6"/>
      <c r="N492" s="6"/>
      <c r="O492" s="6"/>
      <c r="P492" s="6"/>
      <c r="Q492" s="6"/>
    </row>
    <row r="493" spans="5:17" ht="16">
      <c r="E493" s="6"/>
      <c r="F493" s="6"/>
      <c r="G493" s="6"/>
      <c r="H493" s="6"/>
      <c r="I493" s="6"/>
      <c r="J493" s="6"/>
      <c r="K493" s="6"/>
      <c r="L493" s="6"/>
      <c r="M493" s="6"/>
      <c r="N493" s="6"/>
      <c r="O493" s="6"/>
      <c r="P493" s="6"/>
      <c r="Q493" s="6"/>
    </row>
    <row r="494" spans="5:17" ht="16">
      <c r="E494" s="6"/>
      <c r="F494" s="6"/>
      <c r="G494" s="6"/>
      <c r="H494" s="6"/>
      <c r="I494" s="6"/>
      <c r="J494" s="6"/>
      <c r="K494" s="6"/>
      <c r="L494" s="6"/>
      <c r="M494" s="6"/>
      <c r="N494" s="6"/>
      <c r="O494" s="6"/>
      <c r="P494" s="6"/>
      <c r="Q494" s="6"/>
    </row>
    <row r="495" spans="5:17" ht="16">
      <c r="E495" s="6"/>
      <c r="F495" s="6"/>
      <c r="G495" s="6"/>
      <c r="H495" s="6"/>
      <c r="I495" s="6"/>
      <c r="J495" s="6"/>
      <c r="K495" s="6"/>
      <c r="L495" s="6"/>
      <c r="M495" s="6"/>
      <c r="N495" s="6"/>
      <c r="O495" s="6"/>
      <c r="P495" s="6"/>
      <c r="Q495" s="6"/>
    </row>
    <row r="496" spans="5:17" ht="16">
      <c r="E496" s="6"/>
      <c r="F496" s="6"/>
      <c r="G496" s="6"/>
      <c r="H496" s="6"/>
      <c r="I496" s="6"/>
      <c r="J496" s="6"/>
      <c r="K496" s="6"/>
      <c r="L496" s="6"/>
      <c r="M496" s="6"/>
      <c r="N496" s="6"/>
      <c r="O496" s="6"/>
      <c r="P496" s="6"/>
      <c r="Q496" s="6"/>
    </row>
    <row r="497" spans="5:17" ht="16">
      <c r="E497" s="6"/>
      <c r="F497" s="6"/>
      <c r="G497" s="6"/>
      <c r="H497" s="6"/>
      <c r="I497" s="6"/>
      <c r="J497" s="6"/>
      <c r="K497" s="6"/>
      <c r="L497" s="6"/>
      <c r="M497" s="6"/>
      <c r="N497" s="6"/>
      <c r="O497" s="6"/>
      <c r="P497" s="6"/>
      <c r="Q497" s="6"/>
    </row>
    <row r="498" spans="5:17" ht="16">
      <c r="E498" s="6"/>
      <c r="F498" s="6"/>
      <c r="G498" s="6"/>
      <c r="H498" s="6"/>
      <c r="I498" s="6"/>
      <c r="J498" s="6"/>
      <c r="K498" s="6"/>
      <c r="L498" s="6"/>
      <c r="M498" s="6"/>
      <c r="N498" s="6"/>
      <c r="O498" s="6"/>
      <c r="P498" s="6"/>
      <c r="Q498" s="6"/>
    </row>
    <row r="499" spans="5:17" ht="16">
      <c r="E499" s="6"/>
      <c r="F499" s="6"/>
      <c r="G499" s="6"/>
      <c r="H499" s="6"/>
      <c r="I499" s="6"/>
      <c r="J499" s="6"/>
      <c r="K499" s="6"/>
      <c r="L499" s="6"/>
      <c r="M499" s="6"/>
      <c r="N499" s="6"/>
      <c r="O499" s="6"/>
      <c r="P499" s="6"/>
      <c r="Q499" s="6"/>
    </row>
    <row r="500" spans="5:17" ht="16">
      <c r="E500" s="6"/>
      <c r="F500" s="6"/>
      <c r="G500" s="6"/>
      <c r="H500" s="6"/>
      <c r="I500" s="6"/>
      <c r="J500" s="6"/>
      <c r="K500" s="6"/>
      <c r="L500" s="6"/>
      <c r="M500" s="6"/>
      <c r="N500" s="6"/>
      <c r="O500" s="6"/>
      <c r="P500" s="6"/>
      <c r="Q500" s="6"/>
    </row>
    <row r="501" spans="5:17" ht="16">
      <c r="E501" s="6"/>
      <c r="F501" s="6"/>
      <c r="G501" s="6"/>
      <c r="H501" s="6"/>
      <c r="I501" s="6"/>
      <c r="J501" s="6"/>
      <c r="K501" s="6"/>
      <c r="L501" s="6"/>
      <c r="M501" s="6"/>
      <c r="N501" s="6"/>
      <c r="O501" s="6"/>
      <c r="P501" s="6"/>
      <c r="Q501" s="6"/>
    </row>
    <row r="502" spans="5:17" ht="16">
      <c r="E502" s="6"/>
      <c r="F502" s="6"/>
      <c r="G502" s="6"/>
      <c r="H502" s="6"/>
      <c r="I502" s="6"/>
      <c r="J502" s="6"/>
      <c r="K502" s="6"/>
      <c r="L502" s="6"/>
      <c r="M502" s="6"/>
      <c r="N502" s="6"/>
      <c r="O502" s="6"/>
      <c r="P502" s="6"/>
      <c r="Q502" s="6"/>
    </row>
    <row r="503" spans="5:17" ht="16">
      <c r="E503" s="6"/>
      <c r="F503" s="6"/>
      <c r="G503" s="6"/>
      <c r="H503" s="6"/>
      <c r="I503" s="6"/>
      <c r="J503" s="6"/>
      <c r="K503" s="6"/>
      <c r="L503" s="6"/>
      <c r="M503" s="6"/>
      <c r="N503" s="6"/>
      <c r="O503" s="6"/>
      <c r="P503" s="6"/>
      <c r="Q503" s="6"/>
    </row>
    <row r="504" spans="5:17" ht="16">
      <c r="E504" s="6"/>
      <c r="F504" s="6"/>
      <c r="G504" s="6"/>
      <c r="H504" s="6"/>
      <c r="I504" s="6"/>
      <c r="J504" s="6"/>
      <c r="K504" s="6"/>
      <c r="L504" s="6"/>
      <c r="M504" s="6"/>
      <c r="N504" s="6"/>
      <c r="O504" s="6"/>
      <c r="P504" s="6"/>
      <c r="Q504" s="6"/>
    </row>
    <row r="505" spans="5:17" ht="16">
      <c r="E505" s="6"/>
      <c r="F505" s="6"/>
      <c r="G505" s="6"/>
      <c r="H505" s="6"/>
      <c r="I505" s="6"/>
      <c r="J505" s="6"/>
      <c r="K505" s="6"/>
      <c r="L505" s="6"/>
      <c r="M505" s="6"/>
      <c r="N505" s="6"/>
      <c r="O505" s="6"/>
      <c r="P505" s="6"/>
      <c r="Q505" s="6"/>
    </row>
    <row r="506" spans="5:17" ht="16">
      <c r="E506" s="6"/>
      <c r="F506" s="6"/>
      <c r="G506" s="6"/>
      <c r="H506" s="6"/>
      <c r="I506" s="6"/>
      <c r="J506" s="6"/>
      <c r="K506" s="6"/>
      <c r="L506" s="6"/>
      <c r="M506" s="6"/>
      <c r="N506" s="6"/>
      <c r="O506" s="6"/>
      <c r="P506" s="6"/>
      <c r="Q506" s="6"/>
    </row>
    <row r="507" spans="5:17" ht="16">
      <c r="E507" s="6"/>
      <c r="F507" s="6"/>
      <c r="G507" s="6"/>
      <c r="H507" s="6"/>
      <c r="I507" s="6"/>
      <c r="J507" s="6"/>
      <c r="K507" s="6"/>
      <c r="L507" s="6"/>
      <c r="M507" s="6"/>
      <c r="N507" s="6"/>
      <c r="O507" s="6"/>
      <c r="P507" s="6"/>
      <c r="Q507" s="6"/>
    </row>
    <row r="508" spans="5:17" ht="16">
      <c r="E508" s="6"/>
      <c r="F508" s="6"/>
      <c r="G508" s="6"/>
      <c r="H508" s="6"/>
      <c r="I508" s="6"/>
      <c r="J508" s="6"/>
      <c r="K508" s="6"/>
      <c r="L508" s="6"/>
      <c r="M508" s="6"/>
      <c r="N508" s="6"/>
      <c r="O508" s="6"/>
      <c r="P508" s="6"/>
      <c r="Q508" s="6"/>
    </row>
    <row r="509" spans="5:17" ht="16">
      <c r="E509" s="6"/>
      <c r="F509" s="6"/>
      <c r="G509" s="6"/>
      <c r="H509" s="6"/>
      <c r="I509" s="6"/>
      <c r="J509" s="6"/>
      <c r="K509" s="6"/>
      <c r="L509" s="6"/>
      <c r="M509" s="6"/>
      <c r="N509" s="6"/>
      <c r="O509" s="6"/>
      <c r="P509" s="6"/>
      <c r="Q509" s="6"/>
    </row>
    <row r="510" spans="5:17" ht="16">
      <c r="E510" s="6"/>
      <c r="F510" s="6"/>
      <c r="G510" s="6"/>
      <c r="H510" s="6"/>
      <c r="I510" s="6"/>
      <c r="J510" s="6"/>
      <c r="K510" s="6"/>
      <c r="L510" s="6"/>
      <c r="M510" s="6"/>
      <c r="N510" s="6"/>
      <c r="O510" s="6"/>
      <c r="P510" s="6"/>
      <c r="Q510" s="6"/>
    </row>
    <row r="511" spans="5:17" ht="16">
      <c r="E511" s="6"/>
      <c r="F511" s="6"/>
      <c r="G511" s="6"/>
      <c r="H511" s="6"/>
      <c r="I511" s="6"/>
      <c r="J511" s="6"/>
      <c r="K511" s="6"/>
      <c r="L511" s="6"/>
      <c r="M511" s="6"/>
      <c r="N511" s="6"/>
      <c r="O511" s="6"/>
      <c r="P511" s="6"/>
      <c r="Q511" s="6"/>
    </row>
    <row r="512" spans="5:17" ht="16">
      <c r="E512" s="6"/>
      <c r="F512" s="6"/>
      <c r="G512" s="6"/>
      <c r="H512" s="6"/>
      <c r="I512" s="6"/>
      <c r="J512" s="6"/>
      <c r="K512" s="6"/>
      <c r="L512" s="6"/>
      <c r="M512" s="6"/>
      <c r="N512" s="6"/>
      <c r="O512" s="6"/>
      <c r="P512" s="6"/>
      <c r="Q512" s="6"/>
    </row>
    <row r="513" spans="5:17" ht="16">
      <c r="E513" s="6"/>
      <c r="F513" s="6"/>
      <c r="G513" s="6"/>
      <c r="H513" s="6"/>
      <c r="I513" s="6"/>
      <c r="J513" s="6"/>
      <c r="K513" s="6"/>
      <c r="L513" s="6"/>
      <c r="M513" s="6"/>
      <c r="N513" s="6"/>
      <c r="O513" s="6"/>
      <c r="P513" s="6"/>
      <c r="Q513" s="6"/>
    </row>
    <row r="514" spans="5:17" ht="16">
      <c r="E514" s="6"/>
      <c r="F514" s="6"/>
      <c r="G514" s="6"/>
      <c r="H514" s="6"/>
      <c r="I514" s="6"/>
      <c r="J514" s="6"/>
      <c r="K514" s="6"/>
      <c r="L514" s="6"/>
      <c r="M514" s="6"/>
      <c r="N514" s="6"/>
      <c r="O514" s="6"/>
      <c r="P514" s="6"/>
      <c r="Q514" s="6"/>
    </row>
    <row r="515" spans="5:17" ht="16">
      <c r="E515" s="6"/>
      <c r="F515" s="6"/>
      <c r="G515" s="6"/>
      <c r="H515" s="6"/>
      <c r="I515" s="6"/>
      <c r="J515" s="6"/>
      <c r="K515" s="6"/>
      <c r="L515" s="6"/>
      <c r="M515" s="6"/>
      <c r="N515" s="6"/>
      <c r="O515" s="6"/>
      <c r="P515" s="6"/>
      <c r="Q515" s="6"/>
    </row>
    <row r="516" spans="5:17" ht="16">
      <c r="E516" s="6"/>
      <c r="F516" s="6"/>
      <c r="G516" s="6"/>
      <c r="H516" s="6"/>
      <c r="I516" s="6"/>
      <c r="J516" s="6"/>
      <c r="K516" s="6"/>
      <c r="L516" s="6"/>
      <c r="M516" s="6"/>
      <c r="N516" s="6"/>
      <c r="O516" s="6"/>
      <c r="P516" s="6"/>
      <c r="Q516" s="6"/>
    </row>
    <row r="517" spans="5:17" ht="16">
      <c r="E517" s="6"/>
      <c r="F517" s="6"/>
      <c r="G517" s="6"/>
      <c r="H517" s="6"/>
      <c r="I517" s="6"/>
      <c r="J517" s="6"/>
      <c r="K517" s="6"/>
      <c r="L517" s="6"/>
      <c r="M517" s="6"/>
      <c r="N517" s="6"/>
      <c r="O517" s="6"/>
      <c r="P517" s="6"/>
      <c r="Q517" s="6"/>
    </row>
    <row r="518" spans="5:17" ht="16">
      <c r="E518" s="6"/>
      <c r="F518" s="6"/>
      <c r="G518" s="6"/>
      <c r="H518" s="6"/>
      <c r="I518" s="6"/>
      <c r="J518" s="6"/>
      <c r="K518" s="6"/>
      <c r="L518" s="6"/>
      <c r="M518" s="6"/>
      <c r="N518" s="6"/>
      <c r="O518" s="6"/>
      <c r="P518" s="6"/>
      <c r="Q518" s="6"/>
    </row>
    <row r="519" spans="5:17" ht="16">
      <c r="E519" s="6"/>
      <c r="F519" s="6"/>
      <c r="G519" s="6"/>
      <c r="H519" s="6"/>
      <c r="I519" s="6"/>
      <c r="J519" s="6"/>
      <c r="K519" s="6"/>
      <c r="L519" s="6"/>
      <c r="M519" s="6"/>
      <c r="N519" s="6"/>
      <c r="O519" s="6"/>
      <c r="P519" s="6"/>
      <c r="Q519" s="6"/>
    </row>
    <row r="520" spans="5:17" ht="16">
      <c r="E520" s="6"/>
      <c r="F520" s="6"/>
      <c r="G520" s="6"/>
      <c r="H520" s="6"/>
      <c r="I520" s="6"/>
      <c r="J520" s="6"/>
      <c r="K520" s="6"/>
      <c r="L520" s="6"/>
      <c r="M520" s="6"/>
      <c r="N520" s="6"/>
      <c r="O520" s="6"/>
      <c r="P520" s="6"/>
      <c r="Q520" s="6"/>
    </row>
    <row r="521" spans="5:17" ht="16">
      <c r="E521" s="6"/>
      <c r="F521" s="6"/>
      <c r="G521" s="6"/>
      <c r="H521" s="6"/>
      <c r="I521" s="6"/>
      <c r="J521" s="6"/>
      <c r="K521" s="6"/>
      <c r="L521" s="6"/>
      <c r="M521" s="6"/>
      <c r="N521" s="6"/>
      <c r="O521" s="6"/>
      <c r="P521" s="6"/>
      <c r="Q521" s="6"/>
    </row>
    <row r="522" spans="5:17" ht="16">
      <c r="E522" s="6"/>
      <c r="F522" s="6"/>
      <c r="G522" s="6"/>
      <c r="H522" s="6"/>
      <c r="I522" s="6"/>
      <c r="J522" s="6"/>
      <c r="K522" s="6"/>
      <c r="L522" s="6"/>
      <c r="M522" s="6"/>
      <c r="N522" s="6"/>
      <c r="O522" s="6"/>
      <c r="P522" s="6"/>
      <c r="Q522" s="6"/>
    </row>
    <row r="523" spans="5:17" ht="16">
      <c r="E523" s="6"/>
      <c r="F523" s="6"/>
      <c r="G523" s="6"/>
      <c r="H523" s="6"/>
      <c r="I523" s="6"/>
      <c r="J523" s="6"/>
      <c r="K523" s="6"/>
      <c r="L523" s="6"/>
      <c r="M523" s="6"/>
      <c r="N523" s="6"/>
      <c r="O523" s="6"/>
      <c r="P523" s="6"/>
      <c r="Q523" s="6"/>
    </row>
    <row r="524" spans="5:17" ht="16">
      <c r="E524" s="6"/>
      <c r="F524" s="6"/>
      <c r="G524" s="6"/>
      <c r="H524" s="6"/>
      <c r="I524" s="6"/>
      <c r="J524" s="6"/>
      <c r="K524" s="6"/>
      <c r="L524" s="6"/>
      <c r="M524" s="6"/>
      <c r="N524" s="6"/>
      <c r="O524" s="6"/>
      <c r="P524" s="6"/>
      <c r="Q524" s="6"/>
    </row>
    <row r="525" spans="5:17" ht="16">
      <c r="E525" s="6"/>
      <c r="F525" s="6"/>
      <c r="G525" s="6"/>
      <c r="H525" s="6"/>
      <c r="I525" s="6"/>
      <c r="J525" s="6"/>
      <c r="K525" s="6"/>
      <c r="L525" s="6"/>
      <c r="M525" s="6"/>
      <c r="N525" s="6"/>
      <c r="O525" s="6"/>
      <c r="P525" s="6"/>
      <c r="Q525" s="6"/>
    </row>
    <row r="526" spans="5:17" ht="16">
      <c r="E526" s="6"/>
      <c r="F526" s="6"/>
      <c r="G526" s="6"/>
      <c r="H526" s="6"/>
      <c r="I526" s="6"/>
      <c r="J526" s="6"/>
      <c r="K526" s="6"/>
      <c r="L526" s="6"/>
      <c r="M526" s="6"/>
      <c r="N526" s="6"/>
      <c r="O526" s="6"/>
      <c r="P526" s="6"/>
      <c r="Q526" s="6"/>
    </row>
    <row r="527" spans="5:17" ht="16">
      <c r="E527" s="6"/>
      <c r="F527" s="6"/>
      <c r="G527" s="6"/>
      <c r="H527" s="6"/>
      <c r="I527" s="6"/>
      <c r="J527" s="6"/>
      <c r="K527" s="6"/>
      <c r="L527" s="6"/>
      <c r="M527" s="6"/>
      <c r="N527" s="6"/>
      <c r="O527" s="6"/>
      <c r="P527" s="6"/>
      <c r="Q527" s="6"/>
    </row>
    <row r="528" spans="5:17" ht="16">
      <c r="E528" s="6"/>
      <c r="F528" s="6"/>
      <c r="G528" s="6"/>
      <c r="H528" s="6"/>
      <c r="I528" s="6"/>
      <c r="J528" s="6"/>
      <c r="K528" s="6"/>
      <c r="L528" s="6"/>
      <c r="M528" s="6"/>
      <c r="N528" s="6"/>
      <c r="O528" s="6"/>
      <c r="P528" s="6"/>
      <c r="Q528" s="6"/>
    </row>
    <row r="529" spans="5:17" ht="16">
      <c r="E529" s="6"/>
      <c r="F529" s="6"/>
      <c r="G529" s="6"/>
      <c r="H529" s="6"/>
      <c r="I529" s="6"/>
      <c r="J529" s="6"/>
      <c r="K529" s="6"/>
      <c r="L529" s="6"/>
      <c r="M529" s="6"/>
      <c r="N529" s="6"/>
      <c r="O529" s="6"/>
      <c r="P529" s="6"/>
      <c r="Q529" s="6"/>
    </row>
    <row r="530" spans="5:17" ht="16">
      <c r="E530" s="6"/>
      <c r="F530" s="6"/>
      <c r="G530" s="6"/>
      <c r="H530" s="6"/>
      <c r="I530" s="6"/>
      <c r="J530" s="6"/>
      <c r="K530" s="6"/>
      <c r="L530" s="6"/>
      <c r="M530" s="6"/>
      <c r="N530" s="6"/>
      <c r="O530" s="6"/>
      <c r="P530" s="6"/>
      <c r="Q530" s="6"/>
    </row>
    <row r="531" spans="5:17" ht="16">
      <c r="E531" s="6"/>
      <c r="F531" s="6"/>
      <c r="G531" s="6"/>
      <c r="H531" s="6"/>
      <c r="I531" s="6"/>
      <c r="J531" s="6"/>
      <c r="K531" s="6"/>
      <c r="L531" s="6"/>
      <c r="M531" s="6"/>
      <c r="N531" s="6"/>
      <c r="O531" s="6"/>
      <c r="P531" s="6"/>
      <c r="Q531" s="6"/>
    </row>
    <row r="532" spans="5:17" ht="16">
      <c r="E532" s="6"/>
      <c r="F532" s="6"/>
      <c r="G532" s="6"/>
      <c r="H532" s="6"/>
      <c r="I532" s="6"/>
      <c r="J532" s="6"/>
      <c r="K532" s="6"/>
      <c r="L532" s="6"/>
      <c r="M532" s="6"/>
      <c r="N532" s="6"/>
      <c r="O532" s="6"/>
      <c r="P532" s="6"/>
      <c r="Q532" s="6"/>
    </row>
    <row r="533" spans="5:17" ht="16">
      <c r="E533" s="6"/>
      <c r="F533" s="6"/>
      <c r="G533" s="6"/>
      <c r="H533" s="6"/>
      <c r="I533" s="6"/>
      <c r="J533" s="6"/>
      <c r="K533" s="6"/>
      <c r="L533" s="6"/>
      <c r="M533" s="6"/>
      <c r="N533" s="6"/>
      <c r="O533" s="6"/>
      <c r="P533" s="6"/>
      <c r="Q533" s="6"/>
    </row>
    <row r="534" spans="5:17" ht="16">
      <c r="E534" s="6"/>
      <c r="F534" s="6"/>
      <c r="G534" s="6"/>
      <c r="H534" s="6"/>
      <c r="I534" s="6"/>
      <c r="J534" s="6"/>
      <c r="K534" s="6"/>
      <c r="L534" s="6"/>
      <c r="M534" s="6"/>
      <c r="N534" s="6"/>
      <c r="O534" s="6"/>
      <c r="P534" s="6"/>
      <c r="Q534" s="6"/>
    </row>
    <row r="535" spans="5:17" ht="16">
      <c r="E535" s="6"/>
      <c r="F535" s="6"/>
      <c r="G535" s="6"/>
      <c r="H535" s="6"/>
      <c r="I535" s="6"/>
      <c r="J535" s="6"/>
      <c r="K535" s="6"/>
      <c r="L535" s="6"/>
      <c r="M535" s="6"/>
      <c r="N535" s="6"/>
      <c r="O535" s="6"/>
      <c r="P535" s="6"/>
      <c r="Q535" s="6"/>
    </row>
    <row r="536" spans="5:17" ht="16">
      <c r="E536" s="6"/>
      <c r="F536" s="6"/>
      <c r="G536" s="6"/>
      <c r="H536" s="6"/>
      <c r="I536" s="6"/>
      <c r="J536" s="6"/>
      <c r="K536" s="6"/>
      <c r="L536" s="6"/>
      <c r="M536" s="6"/>
      <c r="N536" s="6"/>
      <c r="O536" s="6"/>
      <c r="P536" s="6"/>
      <c r="Q536" s="6"/>
    </row>
    <row r="537" spans="5:17" ht="16">
      <c r="E537" s="6"/>
      <c r="F537" s="6"/>
      <c r="G537" s="6"/>
      <c r="H537" s="6"/>
      <c r="I537" s="6"/>
      <c r="J537" s="6"/>
      <c r="K537" s="6"/>
      <c r="L537" s="6"/>
      <c r="M537" s="6"/>
      <c r="N537" s="6"/>
      <c r="O537" s="6"/>
      <c r="P537" s="6"/>
      <c r="Q537" s="6"/>
    </row>
    <row r="538" spans="5:17" ht="16">
      <c r="E538" s="6"/>
      <c r="F538" s="6"/>
      <c r="G538" s="6"/>
      <c r="H538" s="6"/>
      <c r="I538" s="6"/>
      <c r="J538" s="6"/>
      <c r="K538" s="6"/>
      <c r="L538" s="6"/>
      <c r="M538" s="6"/>
      <c r="N538" s="6"/>
      <c r="O538" s="6"/>
      <c r="P538" s="6"/>
      <c r="Q538" s="6"/>
    </row>
    <row r="539" spans="5:17" ht="16">
      <c r="E539" s="6"/>
      <c r="F539" s="6"/>
      <c r="G539" s="6"/>
      <c r="H539" s="6"/>
      <c r="I539" s="6"/>
      <c r="J539" s="6"/>
      <c r="K539" s="6"/>
      <c r="L539" s="6"/>
      <c r="M539" s="6"/>
      <c r="N539" s="6"/>
      <c r="O539" s="6"/>
      <c r="P539" s="6"/>
      <c r="Q539" s="6"/>
    </row>
    <row r="540" spans="5:17" ht="16">
      <c r="E540" s="6"/>
      <c r="F540" s="6"/>
      <c r="G540" s="6"/>
      <c r="H540" s="6"/>
      <c r="I540" s="6"/>
      <c r="J540" s="6"/>
      <c r="K540" s="6"/>
      <c r="L540" s="6"/>
      <c r="M540" s="6"/>
      <c r="N540" s="6"/>
      <c r="O540" s="6"/>
      <c r="P540" s="6"/>
      <c r="Q540" s="6"/>
    </row>
    <row r="541" spans="5:17" ht="16">
      <c r="E541" s="6"/>
      <c r="F541" s="6"/>
      <c r="G541" s="6"/>
      <c r="H541" s="6"/>
      <c r="I541" s="6"/>
      <c r="J541" s="6"/>
      <c r="K541" s="6"/>
      <c r="L541" s="6"/>
      <c r="M541" s="6"/>
      <c r="N541" s="6"/>
      <c r="O541" s="6"/>
      <c r="P541" s="6"/>
      <c r="Q541" s="6"/>
    </row>
    <row r="542" spans="5:17" ht="16">
      <c r="E542" s="6"/>
      <c r="F542" s="6"/>
      <c r="G542" s="6"/>
      <c r="H542" s="6"/>
      <c r="I542" s="6"/>
      <c r="J542" s="6"/>
      <c r="K542" s="6"/>
      <c r="L542" s="6"/>
      <c r="M542" s="6"/>
      <c r="N542" s="6"/>
      <c r="O542" s="6"/>
      <c r="P542" s="6"/>
      <c r="Q542" s="6"/>
    </row>
    <row r="543" spans="5:17" ht="16">
      <c r="E543" s="6"/>
      <c r="F543" s="6"/>
      <c r="G543" s="6"/>
      <c r="H543" s="6"/>
      <c r="I543" s="6"/>
      <c r="J543" s="6"/>
      <c r="K543" s="6"/>
      <c r="L543" s="6"/>
      <c r="M543" s="6"/>
      <c r="N543" s="6"/>
      <c r="O543" s="6"/>
      <c r="P543" s="6"/>
      <c r="Q543" s="6"/>
    </row>
    <row r="544" spans="5:17" ht="16">
      <c r="E544" s="6"/>
      <c r="F544" s="6"/>
      <c r="G544" s="6"/>
      <c r="H544" s="6"/>
      <c r="I544" s="6"/>
      <c r="J544" s="6"/>
      <c r="K544" s="6"/>
      <c r="L544" s="6"/>
      <c r="M544" s="6"/>
      <c r="N544" s="6"/>
      <c r="O544" s="6"/>
      <c r="P544" s="6"/>
      <c r="Q544" s="6"/>
    </row>
    <row r="545" spans="5:17" ht="16">
      <c r="E545" s="6"/>
      <c r="F545" s="6"/>
      <c r="G545" s="6"/>
      <c r="H545" s="6"/>
      <c r="I545" s="6"/>
      <c r="J545" s="6"/>
      <c r="K545" s="6"/>
      <c r="L545" s="6"/>
      <c r="M545" s="6"/>
      <c r="N545" s="6"/>
      <c r="O545" s="6"/>
      <c r="P545" s="6"/>
      <c r="Q545" s="6"/>
    </row>
    <row r="546" spans="5:17" ht="16">
      <c r="E546" s="6"/>
      <c r="F546" s="6"/>
      <c r="G546" s="6"/>
      <c r="H546" s="6"/>
      <c r="I546" s="6"/>
      <c r="J546" s="6"/>
      <c r="K546" s="6"/>
      <c r="L546" s="6"/>
      <c r="M546" s="6"/>
      <c r="N546" s="6"/>
      <c r="O546" s="6"/>
      <c r="P546" s="6"/>
      <c r="Q546" s="6"/>
    </row>
    <row r="547" spans="5:17" ht="16">
      <c r="E547" s="6"/>
      <c r="F547" s="6"/>
      <c r="G547" s="6"/>
      <c r="H547" s="6"/>
      <c r="I547" s="6"/>
      <c r="J547" s="6"/>
      <c r="K547" s="6"/>
      <c r="L547" s="6"/>
      <c r="M547" s="6"/>
      <c r="N547" s="6"/>
      <c r="O547" s="6"/>
      <c r="P547" s="6"/>
      <c r="Q547" s="6"/>
    </row>
    <row r="548" spans="5:17" ht="16">
      <c r="E548" s="6"/>
      <c r="F548" s="6"/>
      <c r="G548" s="6"/>
      <c r="H548" s="6"/>
      <c r="I548" s="6"/>
      <c r="J548" s="6"/>
      <c r="K548" s="6"/>
      <c r="L548" s="6"/>
      <c r="M548" s="6"/>
      <c r="N548" s="6"/>
      <c r="O548" s="6"/>
      <c r="P548" s="6"/>
      <c r="Q548" s="6"/>
    </row>
    <row r="549" spans="5:17" ht="16">
      <c r="E549" s="6"/>
      <c r="F549" s="6"/>
      <c r="G549" s="6"/>
      <c r="H549" s="6"/>
      <c r="I549" s="6"/>
      <c r="J549" s="6"/>
      <c r="K549" s="6"/>
      <c r="L549" s="6"/>
      <c r="M549" s="6"/>
      <c r="N549" s="6"/>
      <c r="O549" s="6"/>
      <c r="P549" s="6"/>
      <c r="Q549" s="6"/>
    </row>
    <row r="550" spans="5:17" ht="16">
      <c r="E550" s="6"/>
      <c r="F550" s="6"/>
      <c r="G550" s="6"/>
      <c r="H550" s="6"/>
      <c r="I550" s="6"/>
      <c r="J550" s="6"/>
      <c r="K550" s="6"/>
      <c r="L550" s="6"/>
      <c r="M550" s="6"/>
      <c r="N550" s="6"/>
      <c r="O550" s="6"/>
      <c r="P550" s="6"/>
      <c r="Q550" s="6"/>
    </row>
    <row r="551" spans="5:17" ht="16">
      <c r="E551" s="6"/>
      <c r="F551" s="6"/>
      <c r="G551" s="6"/>
      <c r="H551" s="6"/>
      <c r="I551" s="6"/>
      <c r="J551" s="6"/>
      <c r="K551" s="6"/>
      <c r="L551" s="6"/>
      <c r="M551" s="6"/>
      <c r="N551" s="6"/>
      <c r="O551" s="6"/>
      <c r="P551" s="6"/>
      <c r="Q551" s="6"/>
    </row>
    <row r="552" spans="5:17" ht="16">
      <c r="E552" s="6"/>
      <c r="F552" s="6"/>
      <c r="G552" s="6"/>
      <c r="H552" s="6"/>
      <c r="I552" s="6"/>
      <c r="J552" s="6"/>
      <c r="K552" s="6"/>
      <c r="L552" s="6"/>
      <c r="M552" s="6"/>
      <c r="N552" s="6"/>
      <c r="O552" s="6"/>
      <c r="P552" s="6"/>
      <c r="Q552" s="6"/>
    </row>
    <row r="553" spans="5:17" ht="16">
      <c r="E553" s="6"/>
      <c r="F553" s="6"/>
      <c r="G553" s="6"/>
      <c r="H553" s="6"/>
      <c r="I553" s="6"/>
      <c r="J553" s="6"/>
      <c r="K553" s="6"/>
      <c r="L553" s="6"/>
      <c r="M553" s="6"/>
      <c r="N553" s="6"/>
      <c r="O553" s="6"/>
      <c r="P553" s="6"/>
      <c r="Q553" s="6"/>
    </row>
    <row r="554" spans="5:17" ht="16">
      <c r="E554" s="6"/>
      <c r="F554" s="6"/>
      <c r="G554" s="6"/>
      <c r="H554" s="6"/>
      <c r="I554" s="6"/>
      <c r="J554" s="6"/>
      <c r="K554" s="6"/>
      <c r="L554" s="6"/>
      <c r="M554" s="6"/>
      <c r="N554" s="6"/>
      <c r="O554" s="6"/>
      <c r="P554" s="6"/>
      <c r="Q554" s="6"/>
    </row>
    <row r="555" spans="5:17" ht="16">
      <c r="E555" s="6"/>
      <c r="F555" s="6"/>
      <c r="G555" s="6"/>
      <c r="H555" s="6"/>
      <c r="I555" s="6"/>
      <c r="J555" s="6"/>
      <c r="K555" s="6"/>
      <c r="L555" s="6"/>
      <c r="M555" s="6"/>
      <c r="N555" s="6"/>
      <c r="O555" s="6"/>
      <c r="P555" s="6"/>
      <c r="Q555" s="6"/>
    </row>
    <row r="556" spans="5:17" ht="16">
      <c r="E556" s="6"/>
      <c r="F556" s="6"/>
      <c r="G556" s="6"/>
      <c r="H556" s="6"/>
      <c r="I556" s="6"/>
      <c r="J556" s="6"/>
      <c r="K556" s="6"/>
      <c r="L556" s="6"/>
      <c r="M556" s="6"/>
      <c r="N556" s="6"/>
      <c r="O556" s="6"/>
      <c r="P556" s="6"/>
      <c r="Q556" s="6"/>
    </row>
    <row r="557" spans="5:17" ht="16">
      <c r="E557" s="6"/>
      <c r="F557" s="6"/>
      <c r="G557" s="6"/>
      <c r="H557" s="6"/>
      <c r="I557" s="6"/>
      <c r="J557" s="6"/>
      <c r="K557" s="6"/>
      <c r="L557" s="6"/>
      <c r="M557" s="6"/>
      <c r="N557" s="6"/>
      <c r="O557" s="6"/>
      <c r="P557" s="6"/>
      <c r="Q557" s="6"/>
    </row>
    <row r="558" spans="5:17" ht="16">
      <c r="E558" s="6"/>
      <c r="F558" s="6"/>
      <c r="G558" s="6"/>
      <c r="H558" s="6"/>
      <c r="I558" s="6"/>
      <c r="J558" s="6"/>
      <c r="K558" s="6"/>
      <c r="L558" s="6"/>
      <c r="M558" s="6"/>
      <c r="N558" s="6"/>
      <c r="O558" s="6"/>
      <c r="P558" s="6"/>
      <c r="Q558" s="6"/>
    </row>
    <row r="559" spans="5:17" ht="16">
      <c r="E559" s="6"/>
      <c r="F559" s="6"/>
      <c r="G559" s="6"/>
      <c r="H559" s="6"/>
      <c r="I559" s="6"/>
      <c r="J559" s="6"/>
      <c r="K559" s="6"/>
      <c r="L559" s="6"/>
      <c r="M559" s="6"/>
      <c r="N559" s="6"/>
      <c r="O559" s="6"/>
      <c r="P559" s="6"/>
      <c r="Q559" s="6"/>
    </row>
    <row r="560" spans="5:17" ht="16">
      <c r="E560" s="6"/>
      <c r="F560" s="6"/>
      <c r="G560" s="6"/>
      <c r="H560" s="6"/>
      <c r="I560" s="6"/>
      <c r="J560" s="6"/>
      <c r="K560" s="6"/>
      <c r="L560" s="6"/>
      <c r="M560" s="6"/>
      <c r="N560" s="6"/>
      <c r="O560" s="6"/>
      <c r="P560" s="6"/>
      <c r="Q560" s="6"/>
    </row>
    <row r="561" spans="5:17" ht="16">
      <c r="E561" s="6"/>
      <c r="F561" s="6"/>
      <c r="G561" s="6"/>
      <c r="H561" s="6"/>
      <c r="I561" s="6"/>
      <c r="J561" s="6"/>
      <c r="K561" s="6"/>
      <c r="L561" s="6"/>
      <c r="M561" s="6"/>
      <c r="N561" s="6"/>
      <c r="O561" s="6"/>
      <c r="P561" s="6"/>
      <c r="Q561" s="6"/>
    </row>
    <row r="562" spans="5:17" ht="16">
      <c r="E562" s="6"/>
      <c r="F562" s="6"/>
      <c r="G562" s="6"/>
      <c r="H562" s="6"/>
      <c r="I562" s="6"/>
      <c r="J562" s="6"/>
      <c r="K562" s="6"/>
      <c r="L562" s="6"/>
      <c r="M562" s="6"/>
      <c r="N562" s="6"/>
      <c r="O562" s="6"/>
      <c r="P562" s="6"/>
      <c r="Q562" s="6"/>
    </row>
    <row r="563" spans="5:17" ht="16">
      <c r="E563" s="6"/>
      <c r="F563" s="6"/>
      <c r="G563" s="6"/>
      <c r="H563" s="6"/>
      <c r="I563" s="6"/>
      <c r="J563" s="6"/>
      <c r="K563" s="6"/>
      <c r="L563" s="6"/>
      <c r="M563" s="6"/>
      <c r="N563" s="6"/>
      <c r="O563" s="6"/>
      <c r="P563" s="6"/>
      <c r="Q563" s="6"/>
    </row>
    <row r="564" spans="5:17" ht="16">
      <c r="E564" s="6"/>
      <c r="F564" s="6"/>
      <c r="G564" s="6"/>
      <c r="H564" s="6"/>
      <c r="I564" s="6"/>
      <c r="J564" s="6"/>
      <c r="K564" s="6"/>
      <c r="L564" s="6"/>
      <c r="M564" s="6"/>
      <c r="N564" s="6"/>
      <c r="O564" s="6"/>
      <c r="P564" s="6"/>
      <c r="Q564" s="6"/>
    </row>
    <row r="565" spans="5:17" ht="16">
      <c r="E565" s="6"/>
      <c r="F565" s="6"/>
      <c r="G565" s="6"/>
      <c r="H565" s="6"/>
      <c r="I565" s="6"/>
      <c r="J565" s="6"/>
      <c r="K565" s="6"/>
      <c r="L565" s="6"/>
      <c r="M565" s="6"/>
      <c r="N565" s="6"/>
      <c r="O565" s="6"/>
      <c r="P565" s="6"/>
      <c r="Q565" s="6"/>
    </row>
    <row r="566" spans="5:17" ht="16">
      <c r="E566" s="6"/>
      <c r="F566" s="6"/>
      <c r="G566" s="6"/>
      <c r="H566" s="6"/>
      <c r="I566" s="6"/>
      <c r="J566" s="6"/>
      <c r="K566" s="6"/>
      <c r="L566" s="6"/>
      <c r="M566" s="6"/>
      <c r="N566" s="6"/>
      <c r="O566" s="6"/>
      <c r="P566" s="6"/>
      <c r="Q566" s="6"/>
    </row>
    <row r="567" spans="5:17" ht="16">
      <c r="E567" s="6"/>
      <c r="F567" s="6"/>
      <c r="G567" s="6"/>
      <c r="H567" s="6"/>
      <c r="I567" s="6"/>
      <c r="J567" s="6"/>
      <c r="K567" s="6"/>
      <c r="L567" s="6"/>
      <c r="M567" s="6"/>
      <c r="N567" s="6"/>
      <c r="O567" s="6"/>
      <c r="P567" s="6"/>
      <c r="Q567" s="6"/>
    </row>
    <row r="568" spans="5:17" ht="16">
      <c r="E568" s="6"/>
      <c r="F568" s="6"/>
      <c r="G568" s="6"/>
      <c r="H568" s="6"/>
      <c r="I568" s="6"/>
      <c r="J568" s="6"/>
      <c r="K568" s="6"/>
      <c r="L568" s="6"/>
      <c r="M568" s="6"/>
      <c r="N568" s="6"/>
      <c r="O568" s="6"/>
      <c r="P568" s="6"/>
      <c r="Q568" s="6"/>
    </row>
    <row r="569" spans="5:17" ht="16">
      <c r="E569" s="6"/>
      <c r="F569" s="6"/>
      <c r="G569" s="6"/>
      <c r="H569" s="6"/>
      <c r="I569" s="6"/>
      <c r="J569" s="6"/>
      <c r="K569" s="6"/>
      <c r="L569" s="6"/>
      <c r="M569" s="6"/>
      <c r="N569" s="6"/>
      <c r="O569" s="6"/>
      <c r="P569" s="6"/>
      <c r="Q569" s="6"/>
    </row>
    <row r="570" spans="5:17" ht="16">
      <c r="E570" s="6"/>
      <c r="F570" s="6"/>
      <c r="G570" s="6"/>
      <c r="H570" s="6"/>
      <c r="I570" s="6"/>
      <c r="J570" s="6"/>
      <c r="K570" s="6"/>
      <c r="L570" s="6"/>
      <c r="M570" s="6"/>
      <c r="N570" s="6"/>
      <c r="O570" s="6"/>
      <c r="P570" s="6"/>
      <c r="Q570" s="6"/>
    </row>
    <row r="571" spans="5:17" ht="16">
      <c r="E571" s="6"/>
      <c r="F571" s="6"/>
      <c r="G571" s="6"/>
      <c r="H571" s="6"/>
      <c r="I571" s="6"/>
      <c r="J571" s="6"/>
      <c r="K571" s="6"/>
      <c r="L571" s="6"/>
      <c r="M571" s="6"/>
      <c r="N571" s="6"/>
      <c r="O571" s="6"/>
      <c r="P571" s="6"/>
      <c r="Q571" s="6"/>
    </row>
    <row r="572" spans="5:17" ht="16">
      <c r="E572" s="6"/>
      <c r="F572" s="6"/>
      <c r="G572" s="6"/>
      <c r="H572" s="6"/>
      <c r="I572" s="6"/>
      <c r="J572" s="6"/>
      <c r="K572" s="6"/>
      <c r="L572" s="6"/>
      <c r="M572" s="6"/>
      <c r="N572" s="6"/>
      <c r="O572" s="6"/>
      <c r="P572" s="6"/>
      <c r="Q572" s="6"/>
    </row>
    <row r="573" spans="5:17" ht="16">
      <c r="E573" s="6"/>
      <c r="F573" s="6"/>
      <c r="G573" s="6"/>
      <c r="H573" s="6"/>
      <c r="I573" s="6"/>
      <c r="J573" s="6"/>
      <c r="K573" s="6"/>
      <c r="L573" s="6"/>
      <c r="M573" s="6"/>
      <c r="N573" s="6"/>
      <c r="O573" s="6"/>
      <c r="P573" s="6"/>
      <c r="Q573" s="6"/>
    </row>
    <row r="574" spans="5:17" ht="16">
      <c r="E574" s="6"/>
      <c r="F574" s="6"/>
      <c r="G574" s="6"/>
      <c r="H574" s="6"/>
      <c r="I574" s="6"/>
      <c r="J574" s="6"/>
      <c r="K574" s="6"/>
      <c r="L574" s="6"/>
      <c r="M574" s="6"/>
      <c r="N574" s="6"/>
      <c r="O574" s="6"/>
      <c r="P574" s="6"/>
      <c r="Q574" s="6"/>
    </row>
    <row r="575" spans="5:17" ht="16">
      <c r="E575" s="6"/>
      <c r="F575" s="6"/>
      <c r="G575" s="6"/>
      <c r="H575" s="6"/>
      <c r="I575" s="6"/>
      <c r="J575" s="6"/>
      <c r="K575" s="6"/>
      <c r="L575" s="6"/>
      <c r="M575" s="6"/>
      <c r="N575" s="6"/>
      <c r="O575" s="6"/>
      <c r="P575" s="6"/>
      <c r="Q575" s="6"/>
    </row>
    <row r="576" spans="5:17" ht="16">
      <c r="E576" s="6"/>
      <c r="F576" s="6"/>
      <c r="G576" s="6"/>
      <c r="H576" s="6"/>
      <c r="I576" s="6"/>
      <c r="J576" s="6"/>
      <c r="K576" s="6"/>
      <c r="L576" s="6"/>
      <c r="M576" s="6"/>
      <c r="N576" s="6"/>
      <c r="O576" s="6"/>
      <c r="P576" s="6"/>
      <c r="Q576" s="6"/>
    </row>
    <row r="577" spans="5:17" ht="16">
      <c r="E577" s="6"/>
      <c r="F577" s="6"/>
      <c r="G577" s="6"/>
      <c r="H577" s="6"/>
      <c r="I577" s="6"/>
      <c r="J577" s="6"/>
      <c r="K577" s="6"/>
      <c r="L577" s="6"/>
      <c r="M577" s="6"/>
      <c r="N577" s="6"/>
      <c r="O577" s="6"/>
      <c r="P577" s="6"/>
      <c r="Q577" s="6"/>
    </row>
    <row r="578" spans="5:17" ht="16">
      <c r="E578" s="6"/>
      <c r="F578" s="6"/>
      <c r="G578" s="6"/>
      <c r="H578" s="6"/>
      <c r="I578" s="6"/>
      <c r="J578" s="6"/>
      <c r="K578" s="6"/>
      <c r="L578" s="6"/>
      <c r="M578" s="6"/>
      <c r="N578" s="6"/>
      <c r="O578" s="6"/>
      <c r="P578" s="6"/>
      <c r="Q578" s="6"/>
    </row>
    <row r="579" spans="5:17" ht="16">
      <c r="E579" s="6"/>
      <c r="F579" s="6"/>
      <c r="G579" s="6"/>
      <c r="H579" s="6"/>
      <c r="I579" s="6"/>
      <c r="J579" s="6"/>
      <c r="K579" s="6"/>
      <c r="L579" s="6"/>
      <c r="M579" s="6"/>
      <c r="N579" s="6"/>
      <c r="O579" s="6"/>
      <c r="P579" s="6"/>
      <c r="Q579" s="6"/>
    </row>
    <row r="580" spans="5:17" ht="16">
      <c r="E580" s="6"/>
      <c r="F580" s="6"/>
      <c r="G580" s="6"/>
      <c r="H580" s="6"/>
      <c r="I580" s="6"/>
      <c r="J580" s="6"/>
      <c r="K580" s="6"/>
      <c r="L580" s="6"/>
      <c r="M580" s="6"/>
      <c r="N580" s="6"/>
      <c r="O580" s="6"/>
      <c r="P580" s="6"/>
      <c r="Q580" s="6"/>
    </row>
    <row r="581" spans="5:17" ht="16">
      <c r="E581" s="6"/>
      <c r="F581" s="6"/>
      <c r="G581" s="6"/>
      <c r="H581" s="6"/>
      <c r="I581" s="6"/>
      <c r="J581" s="6"/>
      <c r="K581" s="6"/>
      <c r="L581" s="6"/>
      <c r="M581" s="6"/>
      <c r="N581" s="6"/>
      <c r="O581" s="6"/>
      <c r="P581" s="6"/>
      <c r="Q581" s="6"/>
    </row>
    <row r="582" spans="5:17" ht="16">
      <c r="E582" s="6"/>
      <c r="F582" s="6"/>
      <c r="G582" s="6"/>
      <c r="H582" s="6"/>
      <c r="I582" s="6"/>
      <c r="J582" s="6"/>
      <c r="K582" s="6"/>
      <c r="L582" s="6"/>
      <c r="M582" s="6"/>
      <c r="N582" s="6"/>
      <c r="O582" s="6"/>
      <c r="P582" s="6"/>
      <c r="Q582" s="6"/>
    </row>
    <row r="583" spans="5:17" ht="16">
      <c r="E583" s="6"/>
      <c r="F583" s="6"/>
      <c r="G583" s="6"/>
      <c r="H583" s="6"/>
      <c r="I583" s="6"/>
      <c r="J583" s="6"/>
      <c r="K583" s="6"/>
      <c r="L583" s="6"/>
      <c r="M583" s="6"/>
      <c r="N583" s="6"/>
      <c r="O583" s="6"/>
      <c r="P583" s="6"/>
      <c r="Q583" s="6"/>
    </row>
    <row r="584" spans="5:17" ht="16">
      <c r="E584" s="6"/>
      <c r="F584" s="6"/>
      <c r="G584" s="6"/>
      <c r="H584" s="6"/>
      <c r="I584" s="6"/>
      <c r="J584" s="6"/>
      <c r="K584" s="6"/>
      <c r="L584" s="6"/>
      <c r="M584" s="6"/>
      <c r="N584" s="6"/>
      <c r="O584" s="6"/>
      <c r="P584" s="6"/>
      <c r="Q584" s="6"/>
    </row>
    <row r="585" spans="5:17" ht="16">
      <c r="E585" s="6"/>
      <c r="F585" s="6"/>
      <c r="G585" s="6"/>
      <c r="H585" s="6"/>
      <c r="I585" s="6"/>
      <c r="J585" s="6"/>
      <c r="K585" s="6"/>
      <c r="L585" s="6"/>
      <c r="M585" s="6"/>
      <c r="N585" s="6"/>
      <c r="O585" s="6"/>
      <c r="P585" s="6"/>
      <c r="Q585" s="6"/>
    </row>
    <row r="586" spans="5:17" ht="16">
      <c r="E586" s="6"/>
      <c r="F586" s="6"/>
      <c r="G586" s="6"/>
      <c r="H586" s="6"/>
      <c r="I586" s="6"/>
      <c r="J586" s="6"/>
      <c r="K586" s="6"/>
      <c r="L586" s="6"/>
      <c r="M586" s="6"/>
      <c r="N586" s="6"/>
      <c r="O586" s="6"/>
      <c r="P586" s="6"/>
      <c r="Q586" s="6"/>
    </row>
    <row r="587" spans="5:17" ht="16">
      <c r="E587" s="6"/>
      <c r="F587" s="6"/>
      <c r="G587" s="6"/>
      <c r="H587" s="6"/>
      <c r="I587" s="6"/>
      <c r="J587" s="6"/>
      <c r="K587" s="6"/>
      <c r="L587" s="6"/>
      <c r="M587" s="6"/>
      <c r="N587" s="6"/>
      <c r="O587" s="6"/>
      <c r="P587" s="6"/>
      <c r="Q587" s="6"/>
    </row>
    <row r="588" spans="5:17" ht="16">
      <c r="E588" s="6"/>
      <c r="F588" s="6"/>
      <c r="G588" s="6"/>
      <c r="H588" s="6"/>
      <c r="I588" s="6"/>
      <c r="J588" s="6"/>
      <c r="K588" s="6"/>
      <c r="L588" s="6"/>
      <c r="M588" s="6"/>
      <c r="N588" s="6"/>
      <c r="O588" s="6"/>
      <c r="P588" s="6"/>
      <c r="Q588" s="6"/>
    </row>
    <row r="589" spans="5:17" ht="16">
      <c r="E589" s="6"/>
      <c r="F589" s="6"/>
      <c r="G589" s="6"/>
      <c r="H589" s="6"/>
      <c r="I589" s="6"/>
      <c r="J589" s="6"/>
      <c r="K589" s="6"/>
      <c r="L589" s="6"/>
      <c r="M589" s="6"/>
      <c r="N589" s="6"/>
      <c r="O589" s="6"/>
      <c r="P589" s="6"/>
      <c r="Q589" s="6"/>
    </row>
    <row r="590" spans="5:17" ht="16">
      <c r="E590" s="6"/>
      <c r="F590" s="6"/>
      <c r="G590" s="6"/>
      <c r="H590" s="6"/>
      <c r="I590" s="6"/>
      <c r="J590" s="6"/>
      <c r="K590" s="6"/>
      <c r="L590" s="6"/>
      <c r="M590" s="6"/>
      <c r="N590" s="6"/>
      <c r="O590" s="6"/>
      <c r="P590" s="6"/>
      <c r="Q590" s="6"/>
    </row>
    <row r="591" spans="5:17" ht="16">
      <c r="E591" s="6"/>
      <c r="F591" s="6"/>
      <c r="G591" s="6"/>
      <c r="H591" s="6"/>
      <c r="I591" s="6"/>
      <c r="J591" s="6"/>
      <c r="K591" s="6"/>
      <c r="L591" s="6"/>
      <c r="M591" s="6"/>
      <c r="N591" s="6"/>
      <c r="O591" s="6"/>
      <c r="P591" s="6"/>
      <c r="Q591" s="6"/>
    </row>
    <row r="592" spans="5:17" ht="16">
      <c r="E592" s="6"/>
      <c r="F592" s="6"/>
      <c r="G592" s="6"/>
      <c r="H592" s="6"/>
      <c r="I592" s="6"/>
      <c r="J592" s="6"/>
      <c r="K592" s="6"/>
      <c r="L592" s="6"/>
      <c r="M592" s="6"/>
      <c r="N592" s="6"/>
      <c r="O592" s="6"/>
      <c r="P592" s="6"/>
      <c r="Q592" s="6"/>
    </row>
    <row r="593" spans="5:17" ht="16">
      <c r="E593" s="6"/>
      <c r="F593" s="6"/>
      <c r="G593" s="6"/>
      <c r="H593" s="6"/>
      <c r="I593" s="6"/>
      <c r="J593" s="6"/>
      <c r="K593" s="6"/>
      <c r="L593" s="6"/>
      <c r="M593" s="6"/>
      <c r="N593" s="6"/>
      <c r="O593" s="6"/>
      <c r="P593" s="6"/>
      <c r="Q593" s="6"/>
    </row>
    <row r="594" spans="5:17" ht="16">
      <c r="E594" s="6"/>
      <c r="F594" s="6"/>
      <c r="G594" s="6"/>
      <c r="H594" s="6"/>
      <c r="I594" s="6"/>
      <c r="J594" s="6"/>
      <c r="K594" s="6"/>
      <c r="L594" s="6"/>
      <c r="M594" s="6"/>
      <c r="N594" s="6"/>
      <c r="O594" s="6"/>
      <c r="P594" s="6"/>
      <c r="Q594" s="6"/>
    </row>
    <row r="595" spans="5:17" ht="16">
      <c r="E595" s="6"/>
      <c r="F595" s="6"/>
      <c r="G595" s="6"/>
      <c r="H595" s="6"/>
      <c r="I595" s="6"/>
      <c r="J595" s="6"/>
      <c r="K595" s="6"/>
      <c r="L595" s="6"/>
      <c r="M595" s="6"/>
      <c r="N595" s="6"/>
      <c r="O595" s="6"/>
      <c r="P595" s="6"/>
      <c r="Q595" s="6"/>
    </row>
    <row r="596" spans="5:17" ht="16">
      <c r="E596" s="6"/>
      <c r="F596" s="6"/>
      <c r="G596" s="6"/>
      <c r="H596" s="6"/>
      <c r="I596" s="6"/>
      <c r="J596" s="6"/>
      <c r="K596" s="6"/>
      <c r="L596" s="6"/>
      <c r="M596" s="6"/>
      <c r="N596" s="6"/>
      <c r="O596" s="6"/>
      <c r="P596" s="6"/>
      <c r="Q596" s="6"/>
    </row>
    <row r="597" spans="5:17" ht="16">
      <c r="E597" s="6"/>
      <c r="F597" s="6"/>
      <c r="G597" s="6"/>
      <c r="H597" s="6"/>
      <c r="I597" s="6"/>
      <c r="J597" s="6"/>
      <c r="K597" s="6"/>
      <c r="L597" s="6"/>
      <c r="M597" s="6"/>
      <c r="N597" s="6"/>
      <c r="O597" s="6"/>
      <c r="P597" s="6"/>
      <c r="Q597" s="6"/>
    </row>
    <row r="598" spans="5:17" ht="16">
      <c r="E598" s="6"/>
      <c r="F598" s="6"/>
      <c r="G598" s="6"/>
      <c r="H598" s="6"/>
      <c r="I598" s="6"/>
      <c r="J598" s="6"/>
      <c r="K598" s="6"/>
      <c r="L598" s="6"/>
      <c r="M598" s="6"/>
      <c r="N598" s="6"/>
      <c r="O598" s="6"/>
      <c r="P598" s="6"/>
      <c r="Q598" s="6"/>
    </row>
    <row r="599" spans="5:17" ht="16">
      <c r="E599" s="6"/>
      <c r="F599" s="6"/>
      <c r="G599" s="6"/>
      <c r="H599" s="6"/>
      <c r="I599" s="6"/>
      <c r="J599" s="6"/>
      <c r="K599" s="6"/>
      <c r="L599" s="6"/>
      <c r="M599" s="6"/>
      <c r="N599" s="6"/>
      <c r="O599" s="6"/>
      <c r="P599" s="6"/>
      <c r="Q599" s="6"/>
    </row>
    <row r="600" spans="5:17" ht="16">
      <c r="E600" s="6"/>
      <c r="F600" s="6"/>
      <c r="G600" s="6"/>
      <c r="H600" s="6"/>
      <c r="I600" s="6"/>
      <c r="J600" s="6"/>
      <c r="K600" s="6"/>
      <c r="L600" s="6"/>
      <c r="M600" s="6"/>
      <c r="N600" s="6"/>
      <c r="O600" s="6"/>
      <c r="P600" s="6"/>
      <c r="Q600" s="6"/>
    </row>
    <row r="601" spans="5:17" ht="16">
      <c r="E601" s="6"/>
      <c r="F601" s="6"/>
      <c r="G601" s="6"/>
      <c r="H601" s="6"/>
      <c r="I601" s="6"/>
      <c r="J601" s="6"/>
      <c r="K601" s="6"/>
      <c r="L601" s="6"/>
      <c r="M601" s="6"/>
      <c r="N601" s="6"/>
      <c r="O601" s="6"/>
      <c r="P601" s="6"/>
      <c r="Q601" s="6"/>
    </row>
    <row r="602" spans="5:17" ht="16">
      <c r="E602" s="6"/>
      <c r="F602" s="6"/>
      <c r="G602" s="6"/>
      <c r="H602" s="6"/>
      <c r="I602" s="6"/>
      <c r="J602" s="6"/>
      <c r="K602" s="6"/>
      <c r="L602" s="6"/>
      <c r="M602" s="6"/>
      <c r="N602" s="6"/>
      <c r="O602" s="6"/>
      <c r="P602" s="6"/>
      <c r="Q602" s="6"/>
    </row>
    <row r="603" spans="5:17" ht="16">
      <c r="E603" s="6"/>
      <c r="F603" s="6"/>
      <c r="G603" s="6"/>
      <c r="H603" s="6"/>
      <c r="I603" s="6"/>
      <c r="J603" s="6"/>
      <c r="K603" s="6"/>
      <c r="L603" s="6"/>
      <c r="M603" s="6"/>
      <c r="N603" s="6"/>
      <c r="O603" s="6"/>
      <c r="P603" s="6"/>
      <c r="Q603" s="6"/>
    </row>
    <row r="604" spans="5:17" ht="16">
      <c r="E604" s="6"/>
      <c r="F604" s="6"/>
      <c r="G604" s="6"/>
      <c r="H604" s="6"/>
      <c r="I604" s="6"/>
      <c r="J604" s="6"/>
      <c r="K604" s="6"/>
      <c r="L604" s="6"/>
      <c r="M604" s="6"/>
      <c r="N604" s="6"/>
      <c r="O604" s="6"/>
      <c r="P604" s="6"/>
      <c r="Q604" s="6"/>
    </row>
    <row r="605" spans="5:17" ht="16">
      <c r="E605" s="6"/>
      <c r="F605" s="6"/>
      <c r="G605" s="6"/>
      <c r="H605" s="6"/>
      <c r="I605" s="6"/>
      <c r="J605" s="6"/>
      <c r="K605" s="6"/>
      <c r="L605" s="6"/>
      <c r="M605" s="6"/>
      <c r="N605" s="6"/>
      <c r="O605" s="6"/>
      <c r="P605" s="6"/>
      <c r="Q605" s="6"/>
    </row>
    <row r="606" spans="5:17" ht="16">
      <c r="E606" s="6"/>
      <c r="F606" s="6"/>
      <c r="G606" s="6"/>
      <c r="H606" s="6"/>
      <c r="I606" s="6"/>
      <c r="J606" s="6"/>
      <c r="K606" s="6"/>
      <c r="L606" s="6"/>
      <c r="M606" s="6"/>
      <c r="N606" s="6"/>
      <c r="O606" s="6"/>
      <c r="P606" s="6"/>
      <c r="Q606" s="6"/>
    </row>
    <row r="607" spans="5:17" ht="16">
      <c r="E607" s="6"/>
      <c r="F607" s="6"/>
      <c r="G607" s="6"/>
      <c r="H607" s="6"/>
      <c r="I607" s="6"/>
      <c r="J607" s="6"/>
      <c r="K607" s="6"/>
      <c r="L607" s="6"/>
      <c r="M607" s="6"/>
      <c r="N607" s="6"/>
      <c r="O607" s="6"/>
      <c r="P607" s="6"/>
      <c r="Q607" s="6"/>
    </row>
    <row r="608" spans="5:17" ht="16">
      <c r="E608" s="6"/>
      <c r="F608" s="6"/>
      <c r="G608" s="6"/>
      <c r="H608" s="6"/>
      <c r="I608" s="6"/>
      <c r="J608" s="6"/>
      <c r="K608" s="6"/>
      <c r="L608" s="6"/>
      <c r="M608" s="6"/>
      <c r="N608" s="6"/>
      <c r="O608" s="6"/>
      <c r="P608" s="6"/>
      <c r="Q608" s="6"/>
    </row>
    <row r="609" spans="5:17" ht="16">
      <c r="E609" s="6"/>
      <c r="F609" s="6"/>
      <c r="G609" s="6"/>
      <c r="H609" s="6"/>
      <c r="I609" s="6"/>
      <c r="J609" s="6"/>
      <c r="K609" s="6"/>
      <c r="L609" s="6"/>
      <c r="M609" s="6"/>
      <c r="N609" s="6"/>
      <c r="O609" s="6"/>
      <c r="P609" s="6"/>
      <c r="Q609" s="6"/>
    </row>
    <row r="610" spans="5:17" ht="16">
      <c r="E610" s="6"/>
      <c r="F610" s="6"/>
      <c r="G610" s="6"/>
      <c r="H610" s="6"/>
      <c r="I610" s="6"/>
      <c r="J610" s="6"/>
      <c r="K610" s="6"/>
      <c r="L610" s="6"/>
      <c r="M610" s="6"/>
      <c r="N610" s="6"/>
      <c r="O610" s="6"/>
      <c r="P610" s="6"/>
      <c r="Q610" s="6"/>
    </row>
    <row r="611" spans="5:17" ht="16">
      <c r="E611" s="6"/>
      <c r="F611" s="6"/>
      <c r="G611" s="6"/>
      <c r="H611" s="6"/>
      <c r="I611" s="6"/>
      <c r="J611" s="6"/>
      <c r="K611" s="6"/>
      <c r="L611" s="6"/>
      <c r="M611" s="6"/>
      <c r="N611" s="6"/>
      <c r="O611" s="6"/>
      <c r="P611" s="6"/>
      <c r="Q611" s="6"/>
    </row>
    <row r="612" spans="5:17" ht="16">
      <c r="E612" s="6"/>
      <c r="F612" s="6"/>
      <c r="G612" s="6"/>
      <c r="H612" s="6"/>
      <c r="I612" s="6"/>
      <c r="J612" s="6"/>
      <c r="K612" s="6"/>
      <c r="L612" s="6"/>
      <c r="M612" s="6"/>
      <c r="N612" s="6"/>
      <c r="O612" s="6"/>
      <c r="P612" s="6"/>
      <c r="Q612" s="6"/>
    </row>
    <row r="613" spans="5:17" ht="16">
      <c r="E613" s="6"/>
      <c r="F613" s="6"/>
      <c r="G613" s="6"/>
      <c r="H613" s="6"/>
      <c r="I613" s="6"/>
      <c r="J613" s="6"/>
      <c r="K613" s="6"/>
      <c r="L613" s="6"/>
      <c r="M613" s="6"/>
      <c r="N613" s="6"/>
      <c r="O613" s="6"/>
      <c r="P613" s="6"/>
      <c r="Q613" s="6"/>
    </row>
    <row r="614" spans="5:17" ht="16">
      <c r="E614" s="6"/>
      <c r="F614" s="6"/>
      <c r="G614" s="6"/>
      <c r="H614" s="6"/>
      <c r="I614" s="6"/>
      <c r="J614" s="6"/>
      <c r="K614" s="6"/>
      <c r="L614" s="6"/>
      <c r="M614" s="6"/>
      <c r="N614" s="6"/>
      <c r="O614" s="6"/>
      <c r="P614" s="6"/>
      <c r="Q614" s="6"/>
    </row>
    <row r="615" spans="5:17" ht="16">
      <c r="E615" s="6"/>
      <c r="F615" s="6"/>
      <c r="G615" s="6"/>
      <c r="H615" s="6"/>
      <c r="I615" s="6"/>
      <c r="J615" s="6"/>
      <c r="K615" s="6"/>
      <c r="L615" s="6"/>
      <c r="M615" s="6"/>
      <c r="N615" s="6"/>
      <c r="O615" s="6"/>
      <c r="P615" s="6"/>
      <c r="Q615" s="6"/>
    </row>
    <row r="616" spans="5:17" ht="16">
      <c r="E616" s="6"/>
      <c r="F616" s="6"/>
      <c r="G616" s="6"/>
      <c r="H616" s="6"/>
      <c r="I616" s="6"/>
      <c r="J616" s="6"/>
      <c r="K616" s="6"/>
      <c r="L616" s="6"/>
      <c r="M616" s="6"/>
      <c r="N616" s="6"/>
      <c r="O616" s="6"/>
      <c r="P616" s="6"/>
      <c r="Q616" s="6"/>
    </row>
    <row r="617" spans="5:17" ht="16">
      <c r="E617" s="6"/>
      <c r="F617" s="6"/>
      <c r="G617" s="6"/>
      <c r="H617" s="6"/>
      <c r="I617" s="6"/>
      <c r="J617" s="6"/>
      <c r="K617" s="6"/>
      <c r="L617" s="6"/>
      <c r="M617" s="6"/>
      <c r="N617" s="6"/>
      <c r="O617" s="6"/>
      <c r="P617" s="6"/>
      <c r="Q617" s="6"/>
    </row>
    <row r="618" spans="5:17" ht="16">
      <c r="E618" s="6"/>
      <c r="F618" s="6"/>
      <c r="G618" s="6"/>
      <c r="H618" s="6"/>
      <c r="I618" s="6"/>
      <c r="J618" s="6"/>
      <c r="K618" s="6"/>
      <c r="L618" s="6"/>
      <c r="M618" s="6"/>
      <c r="N618" s="6"/>
      <c r="O618" s="6"/>
      <c r="P618" s="6"/>
      <c r="Q618" s="6"/>
    </row>
    <row r="619" spans="5:17" ht="16">
      <c r="E619" s="6"/>
      <c r="F619" s="6"/>
      <c r="G619" s="6"/>
      <c r="H619" s="6"/>
      <c r="I619" s="6"/>
      <c r="J619" s="6"/>
      <c r="K619" s="6"/>
      <c r="L619" s="6"/>
      <c r="M619" s="6"/>
      <c r="N619" s="6"/>
      <c r="O619" s="6"/>
      <c r="P619" s="6"/>
      <c r="Q619" s="6"/>
    </row>
    <row r="620" spans="5:17" ht="16">
      <c r="E620" s="6"/>
      <c r="F620" s="6"/>
      <c r="G620" s="6"/>
      <c r="H620" s="6"/>
      <c r="I620" s="6"/>
      <c r="J620" s="6"/>
      <c r="K620" s="6"/>
      <c r="L620" s="6"/>
      <c r="M620" s="6"/>
      <c r="N620" s="6"/>
      <c r="O620" s="6"/>
      <c r="P620" s="6"/>
      <c r="Q620" s="6"/>
    </row>
    <row r="621" spans="5:17" ht="16">
      <c r="E621" s="6"/>
      <c r="F621" s="6"/>
      <c r="G621" s="6"/>
      <c r="H621" s="6"/>
      <c r="I621" s="6"/>
      <c r="J621" s="6"/>
      <c r="K621" s="6"/>
      <c r="L621" s="6"/>
      <c r="M621" s="6"/>
      <c r="N621" s="6"/>
      <c r="O621" s="6"/>
      <c r="P621" s="6"/>
      <c r="Q621" s="6"/>
    </row>
    <row r="622" spans="5:17" ht="16">
      <c r="E622" s="6"/>
      <c r="F622" s="6"/>
      <c r="G622" s="6"/>
      <c r="H622" s="6"/>
      <c r="I622" s="6"/>
      <c r="J622" s="6"/>
      <c r="K622" s="6"/>
      <c r="L622" s="6"/>
      <c r="M622" s="6"/>
      <c r="N622" s="6"/>
      <c r="O622" s="6"/>
      <c r="P622" s="6"/>
      <c r="Q622" s="6"/>
    </row>
    <row r="623" spans="5:17" ht="16">
      <c r="E623" s="6"/>
      <c r="F623" s="6"/>
      <c r="G623" s="6"/>
      <c r="H623" s="6"/>
      <c r="I623" s="6"/>
      <c r="J623" s="6"/>
      <c r="K623" s="6"/>
      <c r="L623" s="6"/>
      <c r="M623" s="6"/>
      <c r="N623" s="6"/>
      <c r="O623" s="6"/>
      <c r="P623" s="6"/>
      <c r="Q623" s="6"/>
    </row>
    <row r="624" spans="5:17" ht="16">
      <c r="E624" s="6"/>
      <c r="F624" s="6"/>
      <c r="G624" s="6"/>
      <c r="H624" s="6"/>
      <c r="I624" s="6"/>
      <c r="J624" s="6"/>
      <c r="K624" s="6"/>
      <c r="L624" s="6"/>
      <c r="M624" s="6"/>
      <c r="N624" s="6"/>
      <c r="O624" s="6"/>
      <c r="P624" s="6"/>
      <c r="Q624" s="6"/>
    </row>
    <row r="625" spans="5:17" ht="16">
      <c r="E625" s="6"/>
      <c r="F625" s="6"/>
      <c r="G625" s="6"/>
      <c r="H625" s="6"/>
      <c r="I625" s="6"/>
      <c r="J625" s="6"/>
      <c r="K625" s="6"/>
      <c r="L625" s="6"/>
      <c r="M625" s="6"/>
      <c r="N625" s="6"/>
      <c r="O625" s="6"/>
      <c r="P625" s="6"/>
      <c r="Q625" s="6"/>
    </row>
    <row r="626" spans="5:17" ht="16">
      <c r="E626" s="6"/>
      <c r="F626" s="6"/>
      <c r="G626" s="6"/>
      <c r="H626" s="6"/>
      <c r="I626" s="6"/>
      <c r="J626" s="6"/>
      <c r="K626" s="6"/>
      <c r="L626" s="6"/>
      <c r="M626" s="6"/>
      <c r="N626" s="6"/>
      <c r="O626" s="6"/>
      <c r="P626" s="6"/>
      <c r="Q626" s="6"/>
    </row>
    <row r="627" spans="5:17" ht="16">
      <c r="E627" s="6"/>
      <c r="F627" s="6"/>
      <c r="G627" s="6"/>
      <c r="H627" s="6"/>
      <c r="I627" s="6"/>
      <c r="J627" s="6"/>
      <c r="K627" s="6"/>
      <c r="L627" s="6"/>
      <c r="M627" s="6"/>
      <c r="N627" s="6"/>
      <c r="O627" s="6"/>
      <c r="P627" s="6"/>
      <c r="Q627" s="6"/>
    </row>
    <row r="628" spans="5:17" ht="16">
      <c r="E628" s="6"/>
      <c r="F628" s="6"/>
      <c r="G628" s="6"/>
      <c r="H628" s="6"/>
      <c r="I628" s="6"/>
      <c r="J628" s="6"/>
      <c r="K628" s="6"/>
      <c r="L628" s="6"/>
      <c r="M628" s="6"/>
      <c r="N628" s="6"/>
      <c r="O628" s="6"/>
      <c r="P628" s="6"/>
      <c r="Q628" s="6"/>
    </row>
    <row r="629" spans="5:17" ht="16">
      <c r="E629" s="6"/>
      <c r="F629" s="6"/>
      <c r="G629" s="6"/>
      <c r="H629" s="6"/>
      <c r="I629" s="6"/>
      <c r="J629" s="6"/>
      <c r="K629" s="6"/>
      <c r="L629" s="6"/>
      <c r="M629" s="6"/>
      <c r="N629" s="6"/>
      <c r="O629" s="6"/>
      <c r="P629" s="6"/>
      <c r="Q629" s="6"/>
    </row>
    <row r="630" spans="5:17" ht="16">
      <c r="E630" s="6"/>
      <c r="F630" s="6"/>
      <c r="G630" s="6"/>
      <c r="H630" s="6"/>
      <c r="I630" s="6"/>
      <c r="J630" s="6"/>
      <c r="K630" s="6"/>
      <c r="L630" s="6"/>
      <c r="M630" s="6"/>
      <c r="N630" s="6"/>
      <c r="O630" s="6"/>
      <c r="P630" s="6"/>
      <c r="Q630" s="6"/>
    </row>
    <row r="631" spans="5:17" ht="16">
      <c r="E631" s="6"/>
      <c r="F631" s="6"/>
      <c r="G631" s="6"/>
      <c r="H631" s="6"/>
      <c r="I631" s="6"/>
      <c r="J631" s="6"/>
      <c r="K631" s="6"/>
      <c r="L631" s="6"/>
      <c r="M631" s="6"/>
      <c r="N631" s="6"/>
      <c r="O631" s="6"/>
      <c r="P631" s="6"/>
      <c r="Q631" s="6"/>
    </row>
    <row r="632" spans="5:17" ht="16">
      <c r="E632" s="6"/>
      <c r="F632" s="6"/>
      <c r="G632" s="6"/>
      <c r="H632" s="6"/>
      <c r="I632" s="6"/>
      <c r="J632" s="6"/>
      <c r="K632" s="6"/>
      <c r="L632" s="6"/>
      <c r="M632" s="6"/>
      <c r="N632" s="6"/>
      <c r="O632" s="6"/>
      <c r="P632" s="6"/>
      <c r="Q632" s="6"/>
    </row>
    <row r="633" spans="5:17" ht="16">
      <c r="E633" s="6"/>
      <c r="F633" s="6"/>
      <c r="G633" s="6"/>
      <c r="H633" s="6"/>
      <c r="I633" s="6"/>
      <c r="J633" s="6"/>
      <c r="K633" s="6"/>
      <c r="L633" s="6"/>
      <c r="M633" s="6"/>
      <c r="N633" s="6"/>
      <c r="O633" s="6"/>
      <c r="P633" s="6"/>
      <c r="Q633" s="6"/>
    </row>
    <row r="634" spans="5:17" ht="16">
      <c r="E634" s="6"/>
      <c r="F634" s="6"/>
      <c r="G634" s="6"/>
      <c r="H634" s="6"/>
      <c r="I634" s="6"/>
      <c r="J634" s="6"/>
      <c r="K634" s="6"/>
      <c r="L634" s="6"/>
      <c r="M634" s="6"/>
      <c r="N634" s="6"/>
      <c r="O634" s="6"/>
      <c r="P634" s="6"/>
      <c r="Q634" s="6"/>
    </row>
    <row r="635" spans="5:17" ht="16">
      <c r="E635" s="6"/>
      <c r="F635" s="6"/>
      <c r="G635" s="6"/>
      <c r="H635" s="6"/>
      <c r="I635" s="6"/>
      <c r="J635" s="6"/>
      <c r="K635" s="6"/>
      <c r="L635" s="6"/>
      <c r="M635" s="6"/>
      <c r="N635" s="6"/>
      <c r="O635" s="6"/>
      <c r="P635" s="6"/>
      <c r="Q635" s="6"/>
    </row>
    <row r="636" spans="5:17" ht="16">
      <c r="E636" s="6"/>
      <c r="F636" s="6"/>
      <c r="G636" s="6"/>
      <c r="H636" s="6"/>
      <c r="I636" s="6"/>
      <c r="J636" s="6"/>
      <c r="K636" s="6"/>
      <c r="L636" s="6"/>
      <c r="M636" s="6"/>
      <c r="N636" s="6"/>
      <c r="O636" s="6"/>
      <c r="P636" s="6"/>
      <c r="Q636" s="6"/>
    </row>
    <row r="637" spans="5:17" ht="16">
      <c r="E637" s="6"/>
      <c r="F637" s="6"/>
      <c r="G637" s="6"/>
      <c r="H637" s="6"/>
      <c r="I637" s="6"/>
      <c r="J637" s="6"/>
      <c r="K637" s="6"/>
      <c r="L637" s="6"/>
      <c r="M637" s="6"/>
      <c r="N637" s="6"/>
      <c r="O637" s="6"/>
      <c r="P637" s="6"/>
      <c r="Q637" s="6"/>
    </row>
    <row r="638" spans="5:17" ht="16">
      <c r="E638" s="6"/>
      <c r="F638" s="6"/>
      <c r="G638" s="6"/>
      <c r="H638" s="6"/>
      <c r="I638" s="6"/>
      <c r="J638" s="6"/>
      <c r="K638" s="6"/>
      <c r="L638" s="6"/>
      <c r="M638" s="6"/>
      <c r="N638" s="6"/>
      <c r="O638" s="6"/>
      <c r="P638" s="6"/>
      <c r="Q638" s="6"/>
    </row>
    <row r="639" spans="5:17" ht="16">
      <c r="E639" s="6"/>
      <c r="F639" s="6"/>
      <c r="G639" s="6"/>
      <c r="H639" s="6"/>
      <c r="I639" s="6"/>
      <c r="J639" s="6"/>
      <c r="K639" s="6"/>
      <c r="L639" s="6"/>
      <c r="M639" s="6"/>
      <c r="N639" s="6"/>
      <c r="O639" s="6"/>
      <c r="P639" s="6"/>
      <c r="Q639" s="6"/>
    </row>
    <row r="640" spans="5:17" ht="16">
      <c r="E640" s="6"/>
      <c r="F640" s="6"/>
      <c r="G640" s="6"/>
      <c r="H640" s="6"/>
      <c r="I640" s="6"/>
      <c r="J640" s="6"/>
      <c r="K640" s="6"/>
      <c r="L640" s="6"/>
      <c r="M640" s="6"/>
      <c r="N640" s="6"/>
      <c r="O640" s="6"/>
      <c r="P640" s="6"/>
      <c r="Q640" s="6"/>
    </row>
    <row r="641" spans="5:17" ht="16">
      <c r="E641" s="6"/>
      <c r="F641" s="6"/>
      <c r="G641" s="6"/>
      <c r="H641" s="6"/>
      <c r="I641" s="6"/>
      <c r="J641" s="6"/>
      <c r="K641" s="6"/>
      <c r="L641" s="6"/>
      <c r="M641" s="6"/>
      <c r="N641" s="6"/>
      <c r="O641" s="6"/>
      <c r="P641" s="6"/>
      <c r="Q641" s="6"/>
    </row>
    <row r="642" spans="5:17" ht="16">
      <c r="E642" s="6"/>
      <c r="F642" s="6"/>
      <c r="G642" s="6"/>
      <c r="H642" s="6"/>
      <c r="I642" s="6"/>
      <c r="J642" s="6"/>
      <c r="K642" s="6"/>
      <c r="L642" s="6"/>
      <c r="M642" s="6"/>
      <c r="N642" s="6"/>
      <c r="O642" s="6"/>
      <c r="P642" s="6"/>
      <c r="Q642" s="6"/>
    </row>
    <row r="643" spans="5:17" ht="16">
      <c r="E643" s="6"/>
      <c r="F643" s="6"/>
      <c r="G643" s="6"/>
      <c r="H643" s="6"/>
      <c r="I643" s="6"/>
      <c r="J643" s="6"/>
      <c r="K643" s="6"/>
      <c r="L643" s="6"/>
      <c r="M643" s="6"/>
      <c r="N643" s="6"/>
      <c r="O643" s="6"/>
      <c r="P643" s="6"/>
      <c r="Q643" s="6"/>
    </row>
    <row r="644" spans="5:17" ht="16">
      <c r="E644" s="6"/>
      <c r="F644" s="6"/>
      <c r="G644" s="6"/>
      <c r="H644" s="6"/>
      <c r="I644" s="6"/>
      <c r="J644" s="6"/>
      <c r="K644" s="6"/>
      <c r="L644" s="6"/>
      <c r="M644" s="6"/>
      <c r="N644" s="6"/>
      <c r="O644" s="6"/>
      <c r="P644" s="6"/>
      <c r="Q644" s="6"/>
    </row>
    <row r="645" spans="5:17" ht="16">
      <c r="E645" s="6"/>
      <c r="F645" s="6"/>
      <c r="G645" s="6"/>
      <c r="H645" s="6"/>
      <c r="I645" s="6"/>
      <c r="J645" s="6"/>
      <c r="K645" s="6"/>
      <c r="L645" s="6"/>
      <c r="M645" s="6"/>
      <c r="N645" s="6"/>
      <c r="O645" s="6"/>
      <c r="P645" s="6"/>
      <c r="Q645" s="6"/>
    </row>
    <row r="646" spans="5:17" ht="16">
      <c r="E646" s="6"/>
      <c r="F646" s="6"/>
      <c r="G646" s="6"/>
      <c r="H646" s="6"/>
      <c r="I646" s="6"/>
      <c r="J646" s="6"/>
      <c r="K646" s="6"/>
      <c r="L646" s="6"/>
      <c r="M646" s="6"/>
      <c r="N646" s="6"/>
      <c r="O646" s="6"/>
      <c r="P646" s="6"/>
      <c r="Q646" s="6"/>
    </row>
    <row r="647" spans="5:17" ht="16">
      <c r="E647" s="6"/>
      <c r="F647" s="6"/>
      <c r="G647" s="6"/>
      <c r="H647" s="6"/>
      <c r="I647" s="6"/>
      <c r="J647" s="6"/>
      <c r="K647" s="6"/>
      <c r="L647" s="6"/>
      <c r="M647" s="6"/>
      <c r="N647" s="6"/>
      <c r="O647" s="6"/>
      <c r="P647" s="6"/>
      <c r="Q647" s="6"/>
    </row>
    <row r="648" spans="5:17" ht="16">
      <c r="E648" s="6"/>
      <c r="F648" s="6"/>
      <c r="G648" s="6"/>
      <c r="H648" s="6"/>
      <c r="I648" s="6"/>
      <c r="J648" s="6"/>
      <c r="K648" s="6"/>
      <c r="L648" s="6"/>
      <c r="M648" s="6"/>
      <c r="N648" s="6"/>
      <c r="O648" s="6"/>
      <c r="P648" s="6"/>
      <c r="Q648" s="6"/>
    </row>
    <row r="649" spans="5:17" ht="16">
      <c r="E649" s="6"/>
      <c r="F649" s="6"/>
      <c r="G649" s="6"/>
      <c r="H649" s="6"/>
      <c r="I649" s="6"/>
      <c r="J649" s="6"/>
      <c r="K649" s="6"/>
      <c r="L649" s="6"/>
      <c r="M649" s="6"/>
      <c r="N649" s="6"/>
      <c r="O649" s="6"/>
      <c r="P649" s="6"/>
      <c r="Q649" s="6"/>
    </row>
    <row r="650" spans="5:17" ht="16">
      <c r="E650" s="6"/>
      <c r="F650" s="6"/>
      <c r="G650" s="6"/>
      <c r="H650" s="6"/>
      <c r="I650" s="6"/>
      <c r="J650" s="6"/>
      <c r="K650" s="6"/>
      <c r="L650" s="6"/>
      <c r="M650" s="6"/>
      <c r="N650" s="6"/>
      <c r="O650" s="6"/>
      <c r="P650" s="6"/>
      <c r="Q650" s="6"/>
    </row>
    <row r="651" spans="5:17" ht="16">
      <c r="E651" s="6"/>
      <c r="F651" s="6"/>
      <c r="G651" s="6"/>
      <c r="H651" s="6"/>
      <c r="I651" s="6"/>
      <c r="J651" s="6"/>
      <c r="K651" s="6"/>
      <c r="L651" s="6"/>
      <c r="M651" s="6"/>
      <c r="N651" s="6"/>
      <c r="O651" s="6"/>
      <c r="P651" s="6"/>
      <c r="Q651" s="6"/>
    </row>
    <row r="652" spans="5:17" ht="16">
      <c r="E652" s="6"/>
      <c r="F652" s="6"/>
      <c r="G652" s="6"/>
      <c r="H652" s="6"/>
      <c r="I652" s="6"/>
      <c r="J652" s="6"/>
      <c r="K652" s="6"/>
      <c r="L652" s="6"/>
      <c r="M652" s="6"/>
      <c r="N652" s="6"/>
      <c r="O652" s="6"/>
      <c r="P652" s="6"/>
      <c r="Q652" s="6"/>
    </row>
    <row r="653" spans="5:17" ht="16">
      <c r="E653" s="6"/>
      <c r="F653" s="6"/>
      <c r="G653" s="6"/>
      <c r="H653" s="6"/>
      <c r="I653" s="6"/>
      <c r="J653" s="6"/>
      <c r="K653" s="6"/>
      <c r="L653" s="6"/>
      <c r="M653" s="6"/>
      <c r="N653" s="6"/>
      <c r="O653" s="6"/>
      <c r="P653" s="6"/>
      <c r="Q653" s="6"/>
    </row>
    <row r="654" spans="5:17" ht="16">
      <c r="E654" s="6"/>
      <c r="F654" s="6"/>
      <c r="G654" s="6"/>
      <c r="H654" s="6"/>
      <c r="I654" s="6"/>
      <c r="J654" s="6"/>
      <c r="K654" s="6"/>
      <c r="L654" s="6"/>
      <c r="M654" s="6"/>
      <c r="N654" s="6"/>
      <c r="O654" s="6"/>
      <c r="P654" s="6"/>
      <c r="Q654" s="6"/>
    </row>
    <row r="655" spans="5:17" ht="16">
      <c r="E655" s="6"/>
      <c r="F655" s="6"/>
      <c r="G655" s="6"/>
      <c r="H655" s="6"/>
      <c r="I655" s="6"/>
      <c r="J655" s="6"/>
      <c r="K655" s="6"/>
      <c r="L655" s="6"/>
      <c r="M655" s="6"/>
      <c r="N655" s="6"/>
      <c r="O655" s="6"/>
      <c r="P655" s="6"/>
      <c r="Q655" s="6"/>
    </row>
    <row r="656" spans="5:17" ht="16">
      <c r="E656" s="6"/>
      <c r="F656" s="6"/>
      <c r="G656" s="6"/>
      <c r="H656" s="6"/>
      <c r="I656" s="6"/>
      <c r="J656" s="6"/>
      <c r="K656" s="6"/>
      <c r="L656" s="6"/>
      <c r="M656" s="6"/>
      <c r="N656" s="6"/>
      <c r="O656" s="6"/>
      <c r="P656" s="6"/>
      <c r="Q656" s="6"/>
    </row>
    <row r="657" spans="5:17" ht="16">
      <c r="E657" s="6"/>
      <c r="F657" s="6"/>
      <c r="G657" s="6"/>
      <c r="H657" s="6"/>
      <c r="I657" s="6"/>
      <c r="J657" s="6"/>
      <c r="K657" s="6"/>
      <c r="L657" s="6"/>
      <c r="M657" s="6"/>
      <c r="N657" s="6"/>
      <c r="O657" s="6"/>
      <c r="P657" s="6"/>
      <c r="Q657" s="6"/>
    </row>
    <row r="658" spans="5:17" ht="16">
      <c r="E658" s="6"/>
      <c r="F658" s="6"/>
      <c r="G658" s="6"/>
      <c r="H658" s="6"/>
      <c r="I658" s="6"/>
      <c r="J658" s="6"/>
      <c r="K658" s="6"/>
      <c r="L658" s="6"/>
      <c r="M658" s="6"/>
      <c r="N658" s="6"/>
      <c r="O658" s="6"/>
      <c r="P658" s="6"/>
      <c r="Q658" s="6"/>
    </row>
    <row r="659" spans="5:17" ht="16">
      <c r="E659" s="6"/>
      <c r="F659" s="6"/>
      <c r="G659" s="6"/>
      <c r="H659" s="6"/>
      <c r="I659" s="6"/>
      <c r="J659" s="6"/>
      <c r="K659" s="6"/>
      <c r="L659" s="6"/>
      <c r="M659" s="6"/>
      <c r="N659" s="6"/>
      <c r="O659" s="6"/>
      <c r="P659" s="6"/>
      <c r="Q659" s="6"/>
    </row>
    <row r="660" spans="5:17" ht="16">
      <c r="E660" s="6"/>
      <c r="F660" s="6"/>
      <c r="G660" s="6"/>
      <c r="H660" s="6"/>
      <c r="I660" s="6"/>
      <c r="J660" s="6"/>
      <c r="K660" s="6"/>
      <c r="L660" s="6"/>
      <c r="M660" s="6"/>
      <c r="N660" s="6"/>
      <c r="O660" s="6"/>
      <c r="P660" s="6"/>
      <c r="Q660" s="6"/>
    </row>
    <row r="661" spans="5:17" ht="16">
      <c r="E661" s="6"/>
      <c r="F661" s="6"/>
      <c r="G661" s="6"/>
      <c r="H661" s="6"/>
      <c r="I661" s="6"/>
      <c r="J661" s="6"/>
      <c r="K661" s="6"/>
      <c r="L661" s="6"/>
      <c r="M661" s="6"/>
      <c r="N661" s="6"/>
      <c r="O661" s="6"/>
      <c r="P661" s="6"/>
      <c r="Q661" s="6"/>
    </row>
    <row r="662" spans="5:17" ht="16">
      <c r="E662" s="6"/>
      <c r="F662" s="6"/>
      <c r="G662" s="6"/>
      <c r="H662" s="6"/>
      <c r="I662" s="6"/>
      <c r="J662" s="6"/>
      <c r="K662" s="6"/>
      <c r="L662" s="6"/>
      <c r="M662" s="6"/>
      <c r="N662" s="6"/>
      <c r="O662" s="6"/>
      <c r="P662" s="6"/>
      <c r="Q662" s="6"/>
    </row>
    <row r="663" spans="5:17" ht="16">
      <c r="E663" s="6"/>
      <c r="F663" s="6"/>
      <c r="G663" s="6"/>
      <c r="H663" s="6"/>
      <c r="I663" s="6"/>
      <c r="J663" s="6"/>
      <c r="K663" s="6"/>
      <c r="L663" s="6"/>
      <c r="M663" s="6"/>
      <c r="N663" s="6"/>
      <c r="O663" s="6"/>
      <c r="P663" s="6"/>
      <c r="Q663" s="6"/>
    </row>
    <row r="664" spans="5:17" ht="16">
      <c r="E664" s="6"/>
      <c r="F664" s="6"/>
      <c r="G664" s="6"/>
      <c r="H664" s="6"/>
      <c r="I664" s="6"/>
      <c r="J664" s="6"/>
      <c r="K664" s="6"/>
      <c r="L664" s="6"/>
      <c r="M664" s="6"/>
      <c r="N664" s="6"/>
      <c r="O664" s="6"/>
      <c r="P664" s="6"/>
      <c r="Q664" s="6"/>
    </row>
    <row r="665" spans="5:17" ht="16">
      <c r="E665" s="6"/>
      <c r="F665" s="6"/>
      <c r="G665" s="6"/>
      <c r="H665" s="6"/>
      <c r="I665" s="6"/>
      <c r="J665" s="6"/>
      <c r="K665" s="6"/>
      <c r="L665" s="6"/>
      <c r="M665" s="6"/>
      <c r="N665" s="6"/>
      <c r="O665" s="6"/>
      <c r="P665" s="6"/>
      <c r="Q665" s="6"/>
    </row>
    <row r="666" spans="5:17" ht="16">
      <c r="E666" s="6"/>
      <c r="F666" s="6"/>
      <c r="G666" s="6"/>
      <c r="H666" s="6"/>
      <c r="I666" s="6"/>
      <c r="J666" s="6"/>
      <c r="K666" s="6"/>
      <c r="L666" s="6"/>
      <c r="M666" s="6"/>
      <c r="N666" s="6"/>
      <c r="O666" s="6"/>
      <c r="P666" s="6"/>
      <c r="Q666" s="6"/>
    </row>
    <row r="667" spans="5:17" ht="16">
      <c r="E667" s="6"/>
      <c r="F667" s="6"/>
      <c r="G667" s="6"/>
      <c r="H667" s="6"/>
      <c r="I667" s="6"/>
      <c r="J667" s="6"/>
      <c r="K667" s="6"/>
      <c r="L667" s="6"/>
      <c r="M667" s="6"/>
      <c r="N667" s="6"/>
      <c r="O667" s="6"/>
      <c r="P667" s="6"/>
      <c r="Q667" s="6"/>
    </row>
    <row r="668" spans="5:17" ht="16">
      <c r="E668" s="6"/>
      <c r="F668" s="6"/>
      <c r="G668" s="6"/>
      <c r="H668" s="6"/>
      <c r="I668" s="6"/>
      <c r="J668" s="6"/>
      <c r="K668" s="6"/>
      <c r="L668" s="6"/>
      <c r="M668" s="6"/>
      <c r="N668" s="6"/>
      <c r="O668" s="6"/>
      <c r="P668" s="6"/>
      <c r="Q668" s="6"/>
    </row>
    <row r="669" spans="5:17" ht="16">
      <c r="E669" s="6"/>
      <c r="F669" s="6"/>
      <c r="G669" s="6"/>
      <c r="H669" s="6"/>
      <c r="I669" s="6"/>
      <c r="J669" s="6"/>
      <c r="K669" s="6"/>
      <c r="L669" s="6"/>
      <c r="M669" s="6"/>
      <c r="N669" s="6"/>
      <c r="O669" s="6"/>
      <c r="P669" s="6"/>
      <c r="Q669" s="6"/>
    </row>
    <row r="670" spans="5:17" ht="16">
      <c r="E670" s="6"/>
      <c r="F670" s="6"/>
      <c r="G670" s="6"/>
      <c r="H670" s="6"/>
      <c r="I670" s="6"/>
      <c r="J670" s="6"/>
      <c r="K670" s="6"/>
      <c r="L670" s="6"/>
      <c r="M670" s="6"/>
      <c r="N670" s="6"/>
      <c r="O670" s="6"/>
      <c r="P670" s="6"/>
      <c r="Q670" s="6"/>
    </row>
    <row r="671" spans="5:17" ht="16">
      <c r="E671" s="6"/>
      <c r="F671" s="6"/>
      <c r="G671" s="6"/>
      <c r="H671" s="6"/>
      <c r="I671" s="6"/>
      <c r="J671" s="6"/>
      <c r="K671" s="6"/>
      <c r="L671" s="6"/>
      <c r="M671" s="6"/>
      <c r="N671" s="6"/>
      <c r="O671" s="6"/>
      <c r="P671" s="6"/>
      <c r="Q671" s="6"/>
    </row>
    <row r="672" spans="5:17" ht="16">
      <c r="E672" s="6"/>
      <c r="F672" s="6"/>
      <c r="G672" s="6"/>
      <c r="H672" s="6"/>
      <c r="I672" s="6"/>
      <c r="J672" s="6"/>
      <c r="K672" s="6"/>
      <c r="L672" s="6"/>
      <c r="M672" s="6"/>
      <c r="N672" s="6"/>
      <c r="O672" s="6"/>
      <c r="P672" s="6"/>
      <c r="Q672" s="6"/>
    </row>
    <row r="673" spans="5:17" ht="16">
      <c r="E673" s="6"/>
      <c r="F673" s="6"/>
      <c r="G673" s="6"/>
      <c r="H673" s="6"/>
      <c r="I673" s="6"/>
      <c r="J673" s="6"/>
      <c r="K673" s="6"/>
      <c r="L673" s="6"/>
      <c r="M673" s="6"/>
      <c r="N673" s="6"/>
      <c r="O673" s="6"/>
      <c r="P673" s="6"/>
      <c r="Q673" s="6"/>
    </row>
    <row r="674" spans="5:17" ht="16">
      <c r="E674" s="6"/>
      <c r="F674" s="6"/>
      <c r="G674" s="6"/>
      <c r="H674" s="6"/>
      <c r="I674" s="6"/>
      <c r="J674" s="6"/>
      <c r="K674" s="6"/>
      <c r="L674" s="6"/>
      <c r="M674" s="6"/>
      <c r="N674" s="6"/>
      <c r="O674" s="6"/>
      <c r="P674" s="6"/>
      <c r="Q674" s="6"/>
    </row>
    <row r="675" spans="5:17" ht="16">
      <c r="E675" s="6"/>
      <c r="F675" s="6"/>
      <c r="G675" s="6"/>
      <c r="H675" s="6"/>
      <c r="I675" s="6"/>
      <c r="J675" s="6"/>
      <c r="K675" s="6"/>
      <c r="L675" s="6"/>
      <c r="M675" s="6"/>
      <c r="N675" s="6"/>
      <c r="O675" s="6"/>
      <c r="P675" s="6"/>
      <c r="Q675" s="6"/>
    </row>
    <row r="676" spans="5:17" ht="16">
      <c r="E676" s="6"/>
      <c r="F676" s="6"/>
      <c r="G676" s="6"/>
      <c r="H676" s="6"/>
      <c r="I676" s="6"/>
      <c r="J676" s="6"/>
      <c r="K676" s="6"/>
      <c r="L676" s="6"/>
      <c r="M676" s="6"/>
      <c r="N676" s="6"/>
      <c r="O676" s="6"/>
      <c r="P676" s="6"/>
      <c r="Q676" s="6"/>
    </row>
    <row r="677" spans="5:17" ht="16">
      <c r="E677" s="6"/>
      <c r="F677" s="6"/>
      <c r="G677" s="6"/>
      <c r="H677" s="6"/>
      <c r="I677" s="6"/>
      <c r="J677" s="6"/>
      <c r="K677" s="6"/>
      <c r="L677" s="6"/>
      <c r="M677" s="6"/>
      <c r="N677" s="6"/>
      <c r="O677" s="6"/>
      <c r="P677" s="6"/>
      <c r="Q677" s="6"/>
    </row>
    <row r="678" spans="5:17" ht="16">
      <c r="E678" s="6"/>
      <c r="F678" s="6"/>
      <c r="G678" s="6"/>
      <c r="H678" s="6"/>
      <c r="I678" s="6"/>
      <c r="J678" s="6"/>
      <c r="K678" s="6"/>
      <c r="L678" s="6"/>
      <c r="M678" s="6"/>
      <c r="N678" s="6"/>
      <c r="O678" s="6"/>
      <c r="P678" s="6"/>
      <c r="Q678" s="6"/>
    </row>
    <row r="679" spans="5:17" ht="16">
      <c r="E679" s="6"/>
      <c r="F679" s="6"/>
      <c r="G679" s="6"/>
      <c r="H679" s="6"/>
      <c r="I679" s="6"/>
      <c r="J679" s="6"/>
      <c r="K679" s="6"/>
      <c r="L679" s="6"/>
      <c r="M679" s="6"/>
      <c r="N679" s="6"/>
      <c r="O679" s="6"/>
      <c r="P679" s="6"/>
      <c r="Q679" s="6"/>
    </row>
    <row r="680" spans="5:17" ht="16">
      <c r="E680" s="6"/>
      <c r="F680" s="6"/>
      <c r="G680" s="6"/>
      <c r="H680" s="6"/>
      <c r="I680" s="6"/>
      <c r="J680" s="6"/>
      <c r="K680" s="6"/>
      <c r="L680" s="6"/>
      <c r="M680" s="6"/>
      <c r="N680" s="6"/>
      <c r="O680" s="6"/>
      <c r="P680" s="6"/>
      <c r="Q680" s="6"/>
    </row>
    <row r="681" spans="5:17" ht="16">
      <c r="E681" s="6"/>
      <c r="F681" s="6"/>
      <c r="G681" s="6"/>
      <c r="H681" s="6"/>
      <c r="I681" s="6"/>
      <c r="J681" s="6"/>
      <c r="K681" s="6"/>
      <c r="L681" s="6"/>
      <c r="M681" s="6"/>
      <c r="N681" s="6"/>
      <c r="O681" s="6"/>
      <c r="P681" s="6"/>
      <c r="Q681" s="6"/>
    </row>
    <row r="682" spans="5:17" ht="16">
      <c r="E682" s="6"/>
      <c r="F682" s="6"/>
      <c r="G682" s="6"/>
      <c r="H682" s="6"/>
      <c r="I682" s="6"/>
      <c r="J682" s="6"/>
      <c r="K682" s="6"/>
      <c r="L682" s="6"/>
      <c r="M682" s="6"/>
      <c r="N682" s="6"/>
      <c r="O682" s="6"/>
      <c r="P682" s="6"/>
      <c r="Q682" s="6"/>
    </row>
    <row r="683" spans="5:17" ht="16">
      <c r="E683" s="6"/>
      <c r="F683" s="6"/>
      <c r="G683" s="6"/>
      <c r="H683" s="6"/>
      <c r="I683" s="6"/>
      <c r="J683" s="6"/>
      <c r="K683" s="6"/>
      <c r="L683" s="6"/>
      <c r="M683" s="6"/>
      <c r="N683" s="6"/>
      <c r="O683" s="6"/>
      <c r="P683" s="6"/>
      <c r="Q683" s="6"/>
    </row>
    <row r="684" spans="5:17" ht="16">
      <c r="E684" s="6"/>
      <c r="F684" s="6"/>
      <c r="G684" s="6"/>
      <c r="H684" s="6"/>
      <c r="I684" s="6"/>
      <c r="J684" s="6"/>
      <c r="K684" s="6"/>
      <c r="L684" s="6"/>
      <c r="M684" s="6"/>
      <c r="N684" s="6"/>
      <c r="O684" s="6"/>
      <c r="P684" s="6"/>
      <c r="Q684" s="6"/>
    </row>
    <row r="685" spans="5:17" ht="16">
      <c r="E685" s="6"/>
      <c r="F685" s="6"/>
      <c r="G685" s="6"/>
      <c r="H685" s="6"/>
      <c r="I685" s="6"/>
      <c r="J685" s="6"/>
      <c r="K685" s="6"/>
      <c r="L685" s="6"/>
      <c r="M685" s="6"/>
      <c r="N685" s="6"/>
      <c r="O685" s="6"/>
      <c r="P685" s="6"/>
      <c r="Q685" s="6"/>
    </row>
    <row r="686" spans="5:17" ht="16">
      <c r="E686" s="6"/>
      <c r="F686" s="6"/>
      <c r="G686" s="6"/>
      <c r="H686" s="6"/>
      <c r="I686" s="6"/>
      <c r="J686" s="6"/>
      <c r="K686" s="6"/>
      <c r="L686" s="6"/>
      <c r="M686" s="6"/>
      <c r="N686" s="6"/>
      <c r="O686" s="6"/>
      <c r="P686" s="6"/>
      <c r="Q686" s="6"/>
    </row>
    <row r="687" spans="5:17" ht="16">
      <c r="E687" s="6"/>
      <c r="F687" s="6"/>
      <c r="G687" s="6"/>
      <c r="H687" s="6"/>
      <c r="I687" s="6"/>
      <c r="J687" s="6"/>
      <c r="K687" s="6"/>
      <c r="L687" s="6"/>
      <c r="M687" s="6"/>
      <c r="N687" s="6"/>
      <c r="O687" s="6"/>
      <c r="P687" s="6"/>
      <c r="Q687" s="6"/>
    </row>
    <row r="688" spans="5:17" ht="16">
      <c r="E688" s="6"/>
      <c r="F688" s="6"/>
      <c r="G688" s="6"/>
      <c r="H688" s="6"/>
      <c r="I688" s="6"/>
      <c r="J688" s="6"/>
      <c r="K688" s="6"/>
      <c r="L688" s="6"/>
      <c r="M688" s="6"/>
      <c r="N688" s="6"/>
      <c r="O688" s="6"/>
      <c r="P688" s="6"/>
      <c r="Q688" s="6"/>
    </row>
    <row r="689" spans="5:17" ht="16">
      <c r="E689" s="6"/>
      <c r="F689" s="6"/>
      <c r="G689" s="6"/>
      <c r="H689" s="6"/>
      <c r="I689" s="6"/>
      <c r="J689" s="6"/>
      <c r="K689" s="6"/>
      <c r="L689" s="6"/>
      <c r="M689" s="6"/>
      <c r="N689" s="6"/>
      <c r="O689" s="6"/>
      <c r="P689" s="6"/>
      <c r="Q689" s="6"/>
    </row>
    <row r="690" spans="5:17" ht="16">
      <c r="E690" s="6"/>
      <c r="F690" s="6"/>
      <c r="G690" s="6"/>
      <c r="H690" s="6"/>
      <c r="I690" s="6"/>
      <c r="J690" s="6"/>
      <c r="K690" s="6"/>
      <c r="L690" s="6"/>
      <c r="M690" s="6"/>
      <c r="N690" s="6"/>
      <c r="O690" s="6"/>
      <c r="P690" s="6"/>
      <c r="Q690" s="6"/>
    </row>
    <row r="691" spans="5:17" ht="16">
      <c r="E691" s="6"/>
      <c r="F691" s="6"/>
      <c r="G691" s="6"/>
      <c r="H691" s="6"/>
      <c r="I691" s="6"/>
      <c r="J691" s="6"/>
      <c r="K691" s="6"/>
      <c r="L691" s="6"/>
      <c r="M691" s="6"/>
      <c r="N691" s="6"/>
      <c r="O691" s="6"/>
      <c r="P691" s="6"/>
      <c r="Q691" s="6"/>
    </row>
    <row r="692" spans="5:17" ht="16">
      <c r="E692" s="6"/>
      <c r="F692" s="6"/>
      <c r="G692" s="6"/>
      <c r="H692" s="6"/>
      <c r="I692" s="6"/>
      <c r="J692" s="6"/>
      <c r="K692" s="6"/>
      <c r="L692" s="6"/>
      <c r="M692" s="6"/>
      <c r="N692" s="6"/>
      <c r="O692" s="6"/>
      <c r="P692" s="6"/>
      <c r="Q692" s="6"/>
    </row>
    <row r="693" spans="5:17" ht="16">
      <c r="E693" s="6"/>
      <c r="F693" s="6"/>
      <c r="G693" s="6"/>
      <c r="H693" s="6"/>
      <c r="I693" s="6"/>
      <c r="J693" s="6"/>
      <c r="K693" s="6"/>
      <c r="L693" s="6"/>
      <c r="M693" s="6"/>
      <c r="N693" s="6"/>
      <c r="O693" s="6"/>
      <c r="P693" s="6"/>
      <c r="Q693" s="6"/>
    </row>
    <row r="694" spans="5:17" ht="16">
      <c r="E694" s="6"/>
      <c r="F694" s="6"/>
      <c r="G694" s="6"/>
      <c r="H694" s="6"/>
      <c r="I694" s="6"/>
      <c r="J694" s="6"/>
      <c r="K694" s="6"/>
      <c r="L694" s="6"/>
      <c r="M694" s="6"/>
      <c r="N694" s="6"/>
      <c r="O694" s="6"/>
      <c r="P694" s="6"/>
      <c r="Q694" s="6"/>
    </row>
    <row r="695" spans="5:17" ht="16">
      <c r="E695" s="6"/>
      <c r="F695" s="6"/>
      <c r="G695" s="6"/>
      <c r="H695" s="6"/>
      <c r="I695" s="6"/>
      <c r="J695" s="6"/>
      <c r="K695" s="6"/>
      <c r="L695" s="6"/>
      <c r="M695" s="6"/>
      <c r="N695" s="6"/>
      <c r="O695" s="6"/>
      <c r="P695" s="6"/>
      <c r="Q695" s="6"/>
    </row>
    <row r="696" spans="5:17" ht="16">
      <c r="E696" s="6"/>
      <c r="F696" s="6"/>
      <c r="G696" s="6"/>
      <c r="H696" s="6"/>
      <c r="I696" s="6"/>
      <c r="J696" s="6"/>
      <c r="K696" s="6"/>
      <c r="L696" s="6"/>
      <c r="M696" s="6"/>
      <c r="N696" s="6"/>
      <c r="O696" s="6"/>
      <c r="P696" s="6"/>
      <c r="Q696" s="6"/>
    </row>
    <row r="697" spans="5:17" ht="16">
      <c r="E697" s="6"/>
      <c r="F697" s="6"/>
      <c r="G697" s="6"/>
      <c r="H697" s="6"/>
      <c r="I697" s="6"/>
      <c r="J697" s="6"/>
      <c r="K697" s="6"/>
      <c r="L697" s="6"/>
      <c r="M697" s="6"/>
      <c r="N697" s="6"/>
      <c r="O697" s="6"/>
      <c r="P697" s="6"/>
      <c r="Q697" s="6"/>
    </row>
    <row r="698" spans="5:17" ht="16">
      <c r="E698" s="6"/>
      <c r="F698" s="6"/>
      <c r="G698" s="6"/>
      <c r="H698" s="6"/>
      <c r="I698" s="6"/>
      <c r="J698" s="6"/>
      <c r="K698" s="6"/>
      <c r="L698" s="6"/>
      <c r="M698" s="6"/>
      <c r="N698" s="6"/>
      <c r="O698" s="6"/>
      <c r="P698" s="6"/>
      <c r="Q698" s="6"/>
    </row>
    <row r="699" spans="5:17" ht="16">
      <c r="E699" s="6"/>
      <c r="F699" s="6"/>
      <c r="G699" s="6"/>
      <c r="H699" s="6"/>
      <c r="I699" s="6"/>
      <c r="J699" s="6"/>
      <c r="K699" s="6"/>
      <c r="L699" s="6"/>
      <c r="M699" s="6"/>
      <c r="N699" s="6"/>
      <c r="O699" s="6"/>
      <c r="P699" s="6"/>
      <c r="Q699" s="6"/>
    </row>
    <row r="700" spans="5:17" ht="16">
      <c r="E700" s="6"/>
      <c r="F700" s="6"/>
      <c r="G700" s="6"/>
      <c r="H700" s="6"/>
      <c r="I700" s="6"/>
      <c r="J700" s="6"/>
      <c r="K700" s="6"/>
      <c r="L700" s="6"/>
      <c r="M700" s="6"/>
      <c r="N700" s="6"/>
      <c r="O700" s="6"/>
      <c r="P700" s="6"/>
      <c r="Q700" s="6"/>
    </row>
    <row r="701" spans="5:17" ht="16">
      <c r="E701" s="6"/>
      <c r="F701" s="6"/>
      <c r="G701" s="6"/>
      <c r="H701" s="6"/>
      <c r="I701" s="6"/>
      <c r="J701" s="6"/>
      <c r="K701" s="6"/>
      <c r="L701" s="6"/>
      <c r="M701" s="6"/>
      <c r="N701" s="6"/>
      <c r="O701" s="6"/>
      <c r="P701" s="6"/>
      <c r="Q701" s="6"/>
    </row>
    <row r="702" spans="5:17" ht="16">
      <c r="E702" s="6"/>
      <c r="F702" s="6"/>
      <c r="G702" s="6"/>
      <c r="H702" s="6"/>
      <c r="I702" s="6"/>
      <c r="J702" s="6"/>
      <c r="K702" s="6"/>
      <c r="L702" s="6"/>
      <c r="M702" s="6"/>
      <c r="N702" s="6"/>
      <c r="O702" s="6"/>
      <c r="P702" s="6"/>
      <c r="Q702" s="6"/>
    </row>
    <row r="703" spans="5:17" ht="16">
      <c r="E703" s="6"/>
      <c r="F703" s="6"/>
      <c r="G703" s="6"/>
      <c r="H703" s="6"/>
      <c r="I703" s="6"/>
      <c r="J703" s="6"/>
      <c r="K703" s="6"/>
      <c r="L703" s="6"/>
      <c r="M703" s="6"/>
      <c r="N703" s="6"/>
      <c r="O703" s="6"/>
      <c r="P703" s="6"/>
      <c r="Q703" s="6"/>
    </row>
    <row r="704" spans="5:17" ht="16">
      <c r="E704" s="6"/>
      <c r="F704" s="6"/>
      <c r="G704" s="6"/>
      <c r="H704" s="6"/>
      <c r="I704" s="6"/>
      <c r="J704" s="6"/>
      <c r="K704" s="6"/>
      <c r="L704" s="6"/>
      <c r="M704" s="6"/>
      <c r="N704" s="6"/>
      <c r="O704" s="6"/>
      <c r="P704" s="6"/>
      <c r="Q704" s="6"/>
    </row>
    <row r="705" spans="5:17" ht="16">
      <c r="E705" s="6"/>
      <c r="F705" s="6"/>
      <c r="G705" s="6"/>
      <c r="H705" s="6"/>
      <c r="I705" s="6"/>
      <c r="J705" s="6"/>
      <c r="K705" s="6"/>
      <c r="L705" s="6"/>
      <c r="M705" s="6"/>
      <c r="N705" s="6"/>
      <c r="O705" s="6"/>
      <c r="P705" s="6"/>
      <c r="Q705" s="6"/>
    </row>
    <row r="706" spans="5:17" ht="16">
      <c r="E706" s="6"/>
      <c r="F706" s="6"/>
      <c r="G706" s="6"/>
      <c r="H706" s="6"/>
      <c r="I706" s="6"/>
      <c r="J706" s="6"/>
      <c r="K706" s="6"/>
      <c r="L706" s="6"/>
      <c r="M706" s="6"/>
      <c r="N706" s="6"/>
      <c r="O706" s="6"/>
      <c r="P706" s="6"/>
      <c r="Q706" s="6"/>
    </row>
    <row r="707" spans="5:17" ht="16">
      <c r="E707" s="6"/>
      <c r="F707" s="6"/>
      <c r="G707" s="6"/>
      <c r="H707" s="6"/>
      <c r="I707" s="6"/>
      <c r="J707" s="6"/>
      <c r="K707" s="6"/>
      <c r="L707" s="6"/>
      <c r="M707" s="6"/>
      <c r="N707" s="6"/>
      <c r="O707" s="6"/>
      <c r="P707" s="6"/>
      <c r="Q707" s="6"/>
    </row>
    <row r="708" spans="5:17" ht="16">
      <c r="E708" s="6"/>
      <c r="F708" s="6"/>
      <c r="G708" s="6"/>
      <c r="H708" s="6"/>
      <c r="I708" s="6"/>
      <c r="J708" s="6"/>
      <c r="K708" s="6"/>
      <c r="L708" s="6"/>
      <c r="M708" s="6"/>
      <c r="N708" s="6"/>
      <c r="O708" s="6"/>
      <c r="P708" s="6"/>
      <c r="Q708" s="6"/>
    </row>
    <row r="709" spans="5:17" ht="16">
      <c r="E709" s="6"/>
      <c r="F709" s="6"/>
      <c r="G709" s="6"/>
      <c r="H709" s="6"/>
      <c r="I709" s="6"/>
      <c r="J709" s="6"/>
      <c r="K709" s="6"/>
      <c r="L709" s="6"/>
      <c r="M709" s="6"/>
      <c r="N709" s="6"/>
      <c r="O709" s="6"/>
      <c r="P709" s="6"/>
      <c r="Q709" s="6"/>
    </row>
    <row r="710" spans="5:17" ht="16">
      <c r="E710" s="6"/>
      <c r="F710" s="6"/>
      <c r="G710" s="6"/>
      <c r="H710" s="6"/>
      <c r="I710" s="6"/>
      <c r="J710" s="6"/>
      <c r="K710" s="6"/>
      <c r="L710" s="6"/>
      <c r="M710" s="6"/>
      <c r="N710" s="6"/>
      <c r="O710" s="6"/>
      <c r="P710" s="6"/>
      <c r="Q710" s="6"/>
    </row>
    <row r="711" spans="5:17" ht="16">
      <c r="E711" s="6"/>
      <c r="F711" s="6"/>
      <c r="G711" s="6"/>
      <c r="H711" s="6"/>
      <c r="I711" s="6"/>
      <c r="J711" s="6"/>
      <c r="K711" s="6"/>
      <c r="L711" s="6"/>
      <c r="M711" s="6"/>
      <c r="N711" s="6"/>
      <c r="O711" s="6"/>
      <c r="P711" s="6"/>
      <c r="Q711" s="6"/>
    </row>
    <row r="712" spans="5:17" ht="16">
      <c r="E712" s="6"/>
      <c r="F712" s="6"/>
      <c r="G712" s="6"/>
      <c r="H712" s="6"/>
      <c r="I712" s="6"/>
      <c r="J712" s="6"/>
      <c r="K712" s="6"/>
      <c r="L712" s="6"/>
      <c r="M712" s="6"/>
      <c r="N712" s="6"/>
      <c r="O712" s="6"/>
      <c r="P712" s="6"/>
      <c r="Q712" s="6"/>
    </row>
    <row r="713" spans="5:17" ht="16">
      <c r="E713" s="6"/>
      <c r="F713" s="6"/>
      <c r="G713" s="6"/>
      <c r="H713" s="6"/>
      <c r="I713" s="6"/>
      <c r="J713" s="6"/>
      <c r="K713" s="6"/>
      <c r="L713" s="6"/>
      <c r="M713" s="6"/>
      <c r="N713" s="6"/>
      <c r="O713" s="6"/>
      <c r="P713" s="6"/>
      <c r="Q713" s="6"/>
    </row>
    <row r="714" spans="5:17" ht="16">
      <c r="E714" s="6"/>
      <c r="F714" s="6"/>
      <c r="G714" s="6"/>
      <c r="H714" s="6"/>
      <c r="I714" s="6"/>
      <c r="J714" s="6"/>
      <c r="K714" s="6"/>
      <c r="L714" s="6"/>
      <c r="M714" s="6"/>
      <c r="N714" s="6"/>
      <c r="O714" s="6"/>
      <c r="P714" s="6"/>
      <c r="Q714" s="6"/>
    </row>
    <row r="715" spans="5:17" ht="16">
      <c r="E715" s="6"/>
      <c r="F715" s="6"/>
      <c r="G715" s="6"/>
      <c r="H715" s="6"/>
      <c r="I715" s="6"/>
      <c r="J715" s="6"/>
      <c r="K715" s="6"/>
      <c r="L715" s="6"/>
      <c r="M715" s="6"/>
      <c r="N715" s="6"/>
      <c r="O715" s="6"/>
      <c r="P715" s="6"/>
      <c r="Q715" s="6"/>
    </row>
    <row r="716" spans="5:17" ht="16">
      <c r="E716" s="6"/>
      <c r="F716" s="6"/>
      <c r="G716" s="6"/>
      <c r="H716" s="6"/>
      <c r="I716" s="6"/>
      <c r="J716" s="6"/>
      <c r="K716" s="6"/>
      <c r="L716" s="6"/>
      <c r="M716" s="6"/>
      <c r="N716" s="6"/>
      <c r="O716" s="6"/>
      <c r="P716" s="6"/>
      <c r="Q716" s="6"/>
    </row>
    <row r="717" spans="5:17" ht="16">
      <c r="E717" s="6"/>
      <c r="F717" s="6"/>
      <c r="G717" s="6"/>
      <c r="H717" s="6"/>
      <c r="I717" s="6"/>
      <c r="J717" s="6"/>
      <c r="K717" s="6"/>
      <c r="L717" s="6"/>
      <c r="M717" s="6"/>
      <c r="N717" s="6"/>
      <c r="O717" s="6"/>
      <c r="P717" s="6"/>
      <c r="Q717" s="6"/>
    </row>
    <row r="718" spans="5:17" ht="16">
      <c r="E718" s="6"/>
      <c r="F718" s="6"/>
      <c r="G718" s="6"/>
      <c r="H718" s="6"/>
      <c r="I718" s="6"/>
      <c r="J718" s="6"/>
      <c r="K718" s="6"/>
      <c r="L718" s="6"/>
      <c r="M718" s="6"/>
      <c r="N718" s="6"/>
      <c r="O718" s="6"/>
      <c r="P718" s="6"/>
      <c r="Q718" s="6"/>
    </row>
    <row r="719" spans="5:17" ht="16">
      <c r="E719" s="6"/>
      <c r="F719" s="6"/>
      <c r="G719" s="6"/>
      <c r="H719" s="6"/>
      <c r="I719" s="6"/>
      <c r="J719" s="6"/>
      <c r="K719" s="6"/>
      <c r="L719" s="6"/>
      <c r="M719" s="6"/>
      <c r="N719" s="6"/>
      <c r="O719" s="6"/>
      <c r="P719" s="6"/>
      <c r="Q719" s="6"/>
    </row>
    <row r="720" spans="5:17" ht="16">
      <c r="E720" s="6"/>
      <c r="F720" s="6"/>
      <c r="G720" s="6"/>
      <c r="H720" s="6"/>
      <c r="I720" s="6"/>
      <c r="J720" s="6"/>
      <c r="K720" s="6"/>
      <c r="L720" s="6"/>
      <c r="M720" s="6"/>
      <c r="N720" s="6"/>
      <c r="O720" s="6"/>
      <c r="P720" s="6"/>
      <c r="Q720" s="6"/>
    </row>
    <row r="721" spans="5:17" ht="16">
      <c r="E721" s="6"/>
      <c r="F721" s="6"/>
      <c r="G721" s="6"/>
      <c r="H721" s="6"/>
      <c r="I721" s="6"/>
      <c r="J721" s="6"/>
      <c r="K721" s="6"/>
      <c r="L721" s="6"/>
      <c r="M721" s="6"/>
      <c r="N721" s="6"/>
      <c r="O721" s="6"/>
      <c r="P721" s="6"/>
      <c r="Q721" s="6"/>
    </row>
    <row r="722" spans="5:17" ht="16">
      <c r="E722" s="6"/>
      <c r="F722" s="6"/>
      <c r="G722" s="6"/>
      <c r="H722" s="6"/>
      <c r="I722" s="6"/>
      <c r="J722" s="6"/>
      <c r="K722" s="6"/>
      <c r="L722" s="6"/>
      <c r="M722" s="6"/>
      <c r="N722" s="6"/>
      <c r="O722" s="6"/>
      <c r="P722" s="6"/>
      <c r="Q722" s="6"/>
    </row>
    <row r="723" spans="5:17" ht="16">
      <c r="E723" s="6"/>
      <c r="F723" s="6"/>
      <c r="G723" s="6"/>
      <c r="H723" s="6"/>
      <c r="I723" s="6"/>
      <c r="J723" s="6"/>
      <c r="K723" s="6"/>
      <c r="L723" s="6"/>
      <c r="M723" s="6"/>
      <c r="N723" s="6"/>
      <c r="O723" s="6"/>
      <c r="P723" s="6"/>
      <c r="Q723" s="6"/>
    </row>
    <row r="724" spans="5:17" ht="16">
      <c r="E724" s="6"/>
      <c r="F724" s="6"/>
      <c r="G724" s="6"/>
      <c r="H724" s="6"/>
      <c r="I724" s="6"/>
      <c r="J724" s="6"/>
      <c r="K724" s="6"/>
      <c r="L724" s="6"/>
      <c r="M724" s="6"/>
      <c r="N724" s="6"/>
      <c r="O724" s="6"/>
      <c r="P724" s="6"/>
      <c r="Q724" s="6"/>
    </row>
    <row r="725" spans="5:17" ht="16">
      <c r="E725" s="6"/>
      <c r="F725" s="6"/>
      <c r="G725" s="6"/>
      <c r="H725" s="6"/>
      <c r="I725" s="6"/>
      <c r="J725" s="6"/>
      <c r="K725" s="6"/>
      <c r="L725" s="6"/>
      <c r="M725" s="6"/>
      <c r="N725" s="6"/>
      <c r="O725" s="6"/>
      <c r="P725" s="6"/>
      <c r="Q725" s="6"/>
    </row>
    <row r="726" spans="5:17" ht="16">
      <c r="E726" s="6"/>
      <c r="F726" s="6"/>
      <c r="G726" s="6"/>
      <c r="H726" s="6"/>
      <c r="I726" s="6"/>
      <c r="J726" s="6"/>
      <c r="K726" s="6"/>
      <c r="L726" s="6"/>
      <c r="M726" s="6"/>
      <c r="N726" s="6"/>
      <c r="O726" s="6"/>
      <c r="P726" s="6"/>
      <c r="Q726" s="6"/>
    </row>
    <row r="727" spans="5:17" ht="16">
      <c r="E727" s="6"/>
      <c r="F727" s="6"/>
      <c r="G727" s="6"/>
      <c r="H727" s="6"/>
      <c r="I727" s="6"/>
      <c r="J727" s="6"/>
      <c r="K727" s="6"/>
      <c r="L727" s="6"/>
      <c r="M727" s="6"/>
      <c r="N727" s="6"/>
      <c r="O727" s="6"/>
      <c r="P727" s="6"/>
      <c r="Q727" s="6"/>
    </row>
    <row r="728" spans="5:17" ht="16">
      <c r="E728" s="6"/>
      <c r="F728" s="6"/>
      <c r="G728" s="6"/>
      <c r="H728" s="6"/>
      <c r="I728" s="6"/>
      <c r="J728" s="6"/>
      <c r="K728" s="6"/>
      <c r="L728" s="6"/>
      <c r="M728" s="6"/>
      <c r="N728" s="6"/>
      <c r="O728" s="6"/>
      <c r="P728" s="6"/>
      <c r="Q728" s="6"/>
    </row>
    <row r="729" spans="5:17" ht="16">
      <c r="E729" s="6"/>
      <c r="F729" s="6"/>
      <c r="G729" s="6"/>
      <c r="H729" s="6"/>
      <c r="I729" s="6"/>
      <c r="J729" s="6"/>
      <c r="K729" s="6"/>
      <c r="L729" s="6"/>
      <c r="M729" s="6"/>
      <c r="N729" s="6"/>
      <c r="O729" s="6"/>
      <c r="P729" s="6"/>
      <c r="Q729" s="6"/>
    </row>
    <row r="730" spans="5:17" ht="16">
      <c r="E730" s="6"/>
      <c r="F730" s="6"/>
      <c r="G730" s="6"/>
      <c r="H730" s="6"/>
      <c r="I730" s="6"/>
      <c r="J730" s="6"/>
      <c r="K730" s="6"/>
      <c r="L730" s="6"/>
      <c r="M730" s="6"/>
      <c r="N730" s="6"/>
      <c r="O730" s="6"/>
      <c r="P730" s="6"/>
      <c r="Q730" s="6"/>
    </row>
    <row r="731" spans="5:17" ht="16">
      <c r="E731" s="6"/>
      <c r="F731" s="6"/>
      <c r="G731" s="6"/>
      <c r="H731" s="6"/>
      <c r="I731" s="6"/>
      <c r="J731" s="6"/>
      <c r="K731" s="6"/>
      <c r="L731" s="6"/>
      <c r="M731" s="6"/>
      <c r="N731" s="6"/>
      <c r="O731" s="6"/>
      <c r="P731" s="6"/>
      <c r="Q731" s="6"/>
    </row>
    <row r="732" spans="5:17" ht="16">
      <c r="E732" s="6"/>
      <c r="F732" s="6"/>
      <c r="G732" s="6"/>
      <c r="H732" s="6"/>
      <c r="I732" s="6"/>
      <c r="J732" s="6"/>
      <c r="K732" s="6"/>
      <c r="L732" s="6"/>
      <c r="M732" s="6"/>
      <c r="N732" s="6"/>
      <c r="O732" s="6"/>
      <c r="P732" s="6"/>
      <c r="Q732" s="6"/>
    </row>
    <row r="733" spans="5:17" ht="16">
      <c r="E733" s="6"/>
      <c r="F733" s="6"/>
      <c r="G733" s="6"/>
      <c r="H733" s="6"/>
      <c r="I733" s="6"/>
      <c r="J733" s="6"/>
      <c r="K733" s="6"/>
      <c r="L733" s="6"/>
      <c r="M733" s="6"/>
      <c r="N733" s="6"/>
      <c r="O733" s="6"/>
      <c r="P733" s="6"/>
      <c r="Q733" s="6"/>
    </row>
    <row r="734" spans="5:17" ht="16">
      <c r="E734" s="6"/>
      <c r="F734" s="6"/>
      <c r="G734" s="6"/>
      <c r="H734" s="6"/>
      <c r="I734" s="6"/>
      <c r="J734" s="6"/>
      <c r="K734" s="6"/>
      <c r="L734" s="6"/>
      <c r="M734" s="6"/>
      <c r="N734" s="6"/>
      <c r="O734" s="6"/>
      <c r="P734" s="6"/>
      <c r="Q734" s="6"/>
    </row>
    <row r="735" spans="5:17" ht="16">
      <c r="E735" s="6"/>
      <c r="F735" s="6"/>
      <c r="G735" s="6"/>
      <c r="H735" s="6"/>
      <c r="I735" s="6"/>
      <c r="J735" s="6"/>
      <c r="K735" s="6"/>
      <c r="L735" s="6"/>
      <c r="M735" s="6"/>
      <c r="N735" s="6"/>
      <c r="O735" s="6"/>
      <c r="P735" s="6"/>
      <c r="Q735" s="6"/>
    </row>
    <row r="736" spans="5:17" ht="16">
      <c r="E736" s="6"/>
      <c r="F736" s="6"/>
      <c r="G736" s="6"/>
      <c r="H736" s="6"/>
      <c r="I736" s="6"/>
      <c r="J736" s="6"/>
      <c r="K736" s="6"/>
      <c r="L736" s="6"/>
      <c r="M736" s="6"/>
      <c r="N736" s="6"/>
      <c r="O736" s="6"/>
      <c r="P736" s="6"/>
      <c r="Q736" s="6"/>
    </row>
    <row r="737" spans="5:17" ht="16">
      <c r="E737" s="6"/>
      <c r="F737" s="6"/>
      <c r="G737" s="6"/>
      <c r="H737" s="6"/>
      <c r="I737" s="6"/>
      <c r="J737" s="6"/>
      <c r="K737" s="6"/>
      <c r="L737" s="6"/>
      <c r="M737" s="6"/>
      <c r="N737" s="6"/>
      <c r="O737" s="6"/>
      <c r="P737" s="6"/>
      <c r="Q737" s="6"/>
    </row>
    <row r="738" spans="5:17" ht="16">
      <c r="E738" s="6"/>
      <c r="F738" s="6"/>
      <c r="G738" s="6"/>
      <c r="H738" s="6"/>
      <c r="I738" s="6"/>
      <c r="J738" s="6"/>
      <c r="K738" s="6"/>
      <c r="L738" s="6"/>
      <c r="M738" s="6"/>
      <c r="N738" s="6"/>
      <c r="O738" s="6"/>
      <c r="P738" s="6"/>
      <c r="Q738" s="6"/>
    </row>
    <row r="739" spans="5:17" ht="16">
      <c r="E739" s="6"/>
      <c r="F739" s="6"/>
      <c r="G739" s="6"/>
      <c r="H739" s="6"/>
      <c r="I739" s="6"/>
      <c r="J739" s="6"/>
      <c r="K739" s="6"/>
      <c r="L739" s="6"/>
      <c r="M739" s="6"/>
      <c r="N739" s="6"/>
      <c r="O739" s="6"/>
      <c r="P739" s="6"/>
      <c r="Q739" s="6"/>
    </row>
    <row r="740" spans="5:17" ht="16">
      <c r="E740" s="6"/>
      <c r="F740" s="6"/>
      <c r="G740" s="6"/>
      <c r="H740" s="6"/>
      <c r="I740" s="6"/>
      <c r="J740" s="6"/>
      <c r="K740" s="6"/>
      <c r="L740" s="6"/>
      <c r="M740" s="6"/>
      <c r="N740" s="6"/>
      <c r="O740" s="6"/>
      <c r="P740" s="6"/>
      <c r="Q740" s="6"/>
    </row>
    <row r="741" spans="5:17" ht="16">
      <c r="E741" s="6"/>
      <c r="F741" s="6"/>
      <c r="G741" s="6"/>
      <c r="H741" s="6"/>
      <c r="I741" s="6"/>
      <c r="J741" s="6"/>
      <c r="K741" s="6"/>
      <c r="L741" s="6"/>
      <c r="M741" s="6"/>
      <c r="N741" s="6"/>
      <c r="O741" s="6"/>
      <c r="P741" s="6"/>
      <c r="Q741" s="6"/>
    </row>
    <row r="742" spans="5:17" ht="16">
      <c r="E742" s="6"/>
      <c r="F742" s="6"/>
      <c r="G742" s="6"/>
      <c r="H742" s="6"/>
      <c r="I742" s="6"/>
      <c r="J742" s="6"/>
      <c r="K742" s="6"/>
      <c r="L742" s="6"/>
      <c r="M742" s="6"/>
      <c r="N742" s="6"/>
      <c r="O742" s="6"/>
      <c r="P742" s="6"/>
      <c r="Q742" s="6"/>
    </row>
    <row r="743" spans="5:17" ht="16">
      <c r="E743" s="6"/>
      <c r="F743" s="6"/>
      <c r="G743" s="6"/>
      <c r="H743" s="6"/>
      <c r="I743" s="6"/>
      <c r="J743" s="6"/>
      <c r="K743" s="6"/>
      <c r="L743" s="6"/>
      <c r="M743" s="6"/>
      <c r="N743" s="6"/>
      <c r="O743" s="6"/>
      <c r="P743" s="6"/>
      <c r="Q743" s="6"/>
    </row>
    <row r="744" spans="5:17" ht="16">
      <c r="E744" s="6"/>
      <c r="F744" s="6"/>
      <c r="G744" s="6"/>
      <c r="H744" s="6"/>
      <c r="I744" s="6"/>
      <c r="J744" s="6"/>
      <c r="K744" s="6"/>
      <c r="L744" s="6"/>
      <c r="M744" s="6"/>
      <c r="N744" s="6"/>
      <c r="O744" s="6"/>
      <c r="P744" s="6"/>
      <c r="Q744" s="6"/>
    </row>
    <row r="745" spans="5:17" ht="16">
      <c r="E745" s="6"/>
      <c r="F745" s="6"/>
      <c r="G745" s="6"/>
      <c r="H745" s="6"/>
      <c r="I745" s="6"/>
      <c r="J745" s="6"/>
      <c r="K745" s="6"/>
      <c r="L745" s="6"/>
      <c r="M745" s="6"/>
      <c r="N745" s="6"/>
      <c r="O745" s="6"/>
      <c r="P745" s="6"/>
      <c r="Q745" s="6"/>
    </row>
    <row r="746" spans="5:17" ht="16">
      <c r="E746" s="6"/>
      <c r="F746" s="6"/>
      <c r="G746" s="6"/>
      <c r="H746" s="6"/>
      <c r="I746" s="6"/>
      <c r="J746" s="6"/>
      <c r="K746" s="6"/>
      <c r="L746" s="6"/>
      <c r="M746" s="6"/>
      <c r="N746" s="6"/>
      <c r="O746" s="6"/>
      <c r="P746" s="6"/>
      <c r="Q746" s="6"/>
    </row>
    <row r="747" spans="5:17" ht="16">
      <c r="E747" s="6"/>
      <c r="F747" s="6"/>
      <c r="G747" s="6"/>
      <c r="H747" s="6"/>
      <c r="I747" s="6"/>
      <c r="J747" s="6"/>
      <c r="K747" s="6"/>
      <c r="L747" s="6"/>
      <c r="M747" s="6"/>
      <c r="N747" s="6"/>
      <c r="O747" s="6"/>
      <c r="P747" s="6"/>
      <c r="Q747" s="6"/>
    </row>
    <row r="748" spans="5:17" ht="16">
      <c r="E748" s="6"/>
      <c r="F748" s="6"/>
      <c r="G748" s="6"/>
      <c r="H748" s="6"/>
      <c r="I748" s="6"/>
      <c r="J748" s="6"/>
      <c r="K748" s="6"/>
      <c r="L748" s="6"/>
      <c r="M748" s="6"/>
      <c r="N748" s="6"/>
      <c r="O748" s="6"/>
      <c r="P748" s="6"/>
      <c r="Q748" s="6"/>
    </row>
    <row r="749" spans="5:17" ht="16">
      <c r="E749" s="6"/>
      <c r="F749" s="6"/>
      <c r="G749" s="6"/>
      <c r="H749" s="6"/>
      <c r="I749" s="6"/>
      <c r="J749" s="6"/>
      <c r="K749" s="6"/>
      <c r="L749" s="6"/>
      <c r="M749" s="6"/>
      <c r="N749" s="6"/>
      <c r="O749" s="6"/>
      <c r="P749" s="6"/>
      <c r="Q749" s="6"/>
    </row>
    <row r="750" spans="5:17" ht="16">
      <c r="E750" s="6"/>
      <c r="F750" s="6"/>
      <c r="G750" s="6"/>
      <c r="H750" s="6"/>
      <c r="I750" s="6"/>
      <c r="J750" s="6"/>
      <c r="K750" s="6"/>
      <c r="L750" s="6"/>
      <c r="M750" s="6"/>
      <c r="N750" s="6"/>
      <c r="O750" s="6"/>
      <c r="P750" s="6"/>
      <c r="Q750" s="6"/>
    </row>
    <row r="751" spans="5:17" ht="16">
      <c r="E751" s="6"/>
      <c r="F751" s="6"/>
      <c r="G751" s="6"/>
      <c r="H751" s="6"/>
      <c r="I751" s="6"/>
      <c r="J751" s="6"/>
      <c r="K751" s="6"/>
      <c r="L751" s="6"/>
      <c r="M751" s="6"/>
      <c r="N751" s="6"/>
      <c r="O751" s="6"/>
      <c r="P751" s="6"/>
      <c r="Q751" s="6"/>
    </row>
    <row r="752" spans="5:17" ht="16">
      <c r="E752" s="6"/>
      <c r="F752" s="6"/>
      <c r="G752" s="6"/>
      <c r="H752" s="6"/>
      <c r="I752" s="6"/>
      <c r="J752" s="6"/>
      <c r="K752" s="6"/>
      <c r="L752" s="6"/>
      <c r="M752" s="6"/>
      <c r="N752" s="6"/>
      <c r="O752" s="6"/>
      <c r="P752" s="6"/>
      <c r="Q752" s="6"/>
    </row>
    <row r="753" spans="5:17" ht="16">
      <c r="E753" s="6"/>
      <c r="F753" s="6"/>
      <c r="G753" s="6"/>
      <c r="H753" s="6"/>
      <c r="I753" s="6"/>
      <c r="J753" s="6"/>
      <c r="K753" s="6"/>
      <c r="L753" s="6"/>
      <c r="M753" s="6"/>
      <c r="N753" s="6"/>
      <c r="O753" s="6"/>
      <c r="P753" s="6"/>
      <c r="Q753" s="6"/>
    </row>
    <row r="754" spans="5:17" ht="16">
      <c r="E754" s="6"/>
      <c r="F754" s="6"/>
      <c r="G754" s="6"/>
      <c r="H754" s="6"/>
      <c r="I754" s="6"/>
      <c r="J754" s="6"/>
      <c r="K754" s="6"/>
      <c r="L754" s="6"/>
      <c r="M754" s="6"/>
      <c r="N754" s="6"/>
      <c r="O754" s="6"/>
      <c r="P754" s="6"/>
      <c r="Q754" s="6"/>
    </row>
    <row r="755" spans="5:17" ht="16">
      <c r="E755" s="6"/>
      <c r="F755" s="6"/>
      <c r="G755" s="6"/>
      <c r="H755" s="6"/>
      <c r="I755" s="6"/>
      <c r="J755" s="6"/>
      <c r="K755" s="6"/>
      <c r="L755" s="6"/>
      <c r="M755" s="6"/>
      <c r="N755" s="6"/>
      <c r="O755" s="6"/>
      <c r="P755" s="6"/>
      <c r="Q755" s="6"/>
    </row>
    <row r="756" spans="5:17" ht="16">
      <c r="E756" s="6"/>
      <c r="F756" s="6"/>
      <c r="G756" s="6"/>
      <c r="H756" s="6"/>
      <c r="I756" s="6"/>
      <c r="J756" s="6"/>
      <c r="K756" s="6"/>
      <c r="L756" s="6"/>
      <c r="M756" s="6"/>
      <c r="N756" s="6"/>
      <c r="O756" s="6"/>
      <c r="P756" s="6"/>
      <c r="Q756" s="6"/>
    </row>
    <row r="757" spans="5:17" ht="16">
      <c r="E757" s="6"/>
      <c r="F757" s="6"/>
      <c r="G757" s="6"/>
      <c r="H757" s="6"/>
      <c r="I757" s="6"/>
      <c r="J757" s="6"/>
      <c r="K757" s="6"/>
      <c r="L757" s="6"/>
      <c r="M757" s="6"/>
      <c r="N757" s="6"/>
      <c r="O757" s="6"/>
      <c r="P757" s="6"/>
      <c r="Q757" s="6"/>
    </row>
    <row r="758" spans="5:17" ht="16">
      <c r="E758" s="6"/>
      <c r="F758" s="6"/>
      <c r="G758" s="6"/>
      <c r="H758" s="6"/>
      <c r="I758" s="6"/>
      <c r="J758" s="6"/>
      <c r="K758" s="6"/>
      <c r="L758" s="6"/>
      <c r="M758" s="6"/>
      <c r="N758" s="6"/>
      <c r="O758" s="6"/>
      <c r="P758" s="6"/>
      <c r="Q758" s="6"/>
    </row>
    <row r="759" spans="5:17" ht="16">
      <c r="E759" s="6"/>
      <c r="F759" s="6"/>
      <c r="G759" s="6"/>
      <c r="H759" s="6"/>
      <c r="I759" s="6"/>
      <c r="J759" s="6"/>
      <c r="K759" s="6"/>
      <c r="L759" s="6"/>
      <c r="M759" s="6"/>
      <c r="N759" s="6"/>
      <c r="O759" s="6"/>
      <c r="P759" s="6"/>
      <c r="Q759" s="6"/>
    </row>
    <row r="760" spans="5:17" ht="16">
      <c r="E760" s="6"/>
      <c r="F760" s="6"/>
      <c r="G760" s="6"/>
      <c r="H760" s="6"/>
      <c r="I760" s="6"/>
      <c r="J760" s="6"/>
      <c r="K760" s="6"/>
      <c r="L760" s="6"/>
      <c r="M760" s="6"/>
      <c r="N760" s="6"/>
      <c r="O760" s="6"/>
      <c r="P760" s="6"/>
      <c r="Q760" s="6"/>
    </row>
    <row r="761" spans="5:17" ht="16">
      <c r="E761" s="6"/>
      <c r="F761" s="6"/>
      <c r="G761" s="6"/>
      <c r="H761" s="6"/>
      <c r="I761" s="6"/>
      <c r="J761" s="6"/>
      <c r="K761" s="6"/>
      <c r="L761" s="6"/>
      <c r="M761" s="6"/>
      <c r="N761" s="6"/>
      <c r="O761" s="6"/>
      <c r="P761" s="6"/>
      <c r="Q761" s="6"/>
    </row>
    <row r="762" spans="5:17" ht="16">
      <c r="E762" s="6"/>
      <c r="F762" s="6"/>
      <c r="G762" s="6"/>
      <c r="H762" s="6"/>
      <c r="I762" s="6"/>
      <c r="J762" s="6"/>
      <c r="K762" s="6"/>
      <c r="L762" s="6"/>
      <c r="M762" s="6"/>
      <c r="N762" s="6"/>
      <c r="O762" s="6"/>
      <c r="P762" s="6"/>
      <c r="Q762" s="6"/>
    </row>
    <row r="763" spans="5:17" ht="16">
      <c r="E763" s="6"/>
      <c r="F763" s="6"/>
      <c r="G763" s="6"/>
      <c r="H763" s="6"/>
      <c r="I763" s="6"/>
      <c r="J763" s="6"/>
      <c r="K763" s="6"/>
      <c r="L763" s="6"/>
      <c r="M763" s="6"/>
      <c r="N763" s="6"/>
      <c r="O763" s="6"/>
      <c r="P763" s="6"/>
      <c r="Q763" s="6"/>
    </row>
    <row r="764" spans="5:17" ht="16">
      <c r="E764" s="6"/>
      <c r="F764" s="6"/>
      <c r="G764" s="6"/>
      <c r="H764" s="6"/>
      <c r="I764" s="6"/>
      <c r="J764" s="6"/>
      <c r="K764" s="6"/>
      <c r="L764" s="6"/>
      <c r="M764" s="6"/>
      <c r="N764" s="6"/>
      <c r="O764" s="6"/>
      <c r="P764" s="6"/>
      <c r="Q764" s="6"/>
    </row>
    <row r="765" spans="5:17" ht="16">
      <c r="E765" s="6"/>
      <c r="F765" s="6"/>
      <c r="G765" s="6"/>
      <c r="H765" s="6"/>
      <c r="I765" s="6"/>
      <c r="J765" s="6"/>
      <c r="K765" s="6"/>
      <c r="L765" s="6"/>
      <c r="M765" s="6"/>
      <c r="N765" s="6"/>
      <c r="O765" s="6"/>
      <c r="P765" s="6"/>
      <c r="Q765" s="6"/>
    </row>
    <row r="766" spans="5:17" ht="16">
      <c r="E766" s="6"/>
      <c r="F766" s="6"/>
      <c r="G766" s="6"/>
      <c r="H766" s="6"/>
      <c r="I766" s="6"/>
      <c r="J766" s="6"/>
      <c r="K766" s="6"/>
      <c r="L766" s="6"/>
      <c r="M766" s="6"/>
      <c r="N766" s="6"/>
      <c r="O766" s="6"/>
      <c r="P766" s="6"/>
      <c r="Q766" s="6"/>
    </row>
    <row r="767" spans="5:17" ht="16">
      <c r="E767" s="6"/>
      <c r="F767" s="6"/>
      <c r="G767" s="6"/>
      <c r="H767" s="6"/>
      <c r="I767" s="6"/>
      <c r="J767" s="6"/>
      <c r="K767" s="6"/>
      <c r="L767" s="6"/>
      <c r="M767" s="6"/>
      <c r="N767" s="6"/>
      <c r="O767" s="6"/>
      <c r="P767" s="6"/>
      <c r="Q767" s="6"/>
    </row>
    <row r="768" spans="5:17" ht="16">
      <c r="E768" s="6"/>
      <c r="F768" s="6"/>
      <c r="G768" s="6"/>
      <c r="H768" s="6"/>
      <c r="I768" s="6"/>
      <c r="J768" s="6"/>
      <c r="K768" s="6"/>
      <c r="L768" s="6"/>
      <c r="M768" s="6"/>
      <c r="N768" s="6"/>
      <c r="O768" s="6"/>
      <c r="P768" s="6"/>
      <c r="Q768" s="6"/>
    </row>
    <row r="769" spans="5:17" ht="16">
      <c r="E769" s="6"/>
      <c r="F769" s="6"/>
      <c r="G769" s="6"/>
      <c r="H769" s="6"/>
      <c r="I769" s="6"/>
      <c r="J769" s="6"/>
      <c r="K769" s="6"/>
      <c r="L769" s="6"/>
      <c r="M769" s="6"/>
      <c r="N769" s="6"/>
      <c r="O769" s="6"/>
      <c r="P769" s="6"/>
      <c r="Q769" s="6"/>
    </row>
    <row r="770" spans="5:17" ht="16">
      <c r="E770" s="6"/>
      <c r="F770" s="6"/>
      <c r="G770" s="6"/>
      <c r="H770" s="6"/>
      <c r="I770" s="6"/>
      <c r="J770" s="6"/>
      <c r="K770" s="6"/>
      <c r="L770" s="6"/>
      <c r="M770" s="6"/>
      <c r="N770" s="6"/>
      <c r="O770" s="6"/>
      <c r="P770" s="6"/>
      <c r="Q770" s="6"/>
    </row>
    <row r="771" spans="5:17" ht="16">
      <c r="E771" s="6"/>
      <c r="F771" s="6"/>
      <c r="G771" s="6"/>
      <c r="H771" s="6"/>
      <c r="I771" s="6"/>
      <c r="J771" s="6"/>
      <c r="K771" s="6"/>
      <c r="L771" s="6"/>
      <c r="M771" s="6"/>
      <c r="N771" s="6"/>
      <c r="O771" s="6"/>
      <c r="P771" s="6"/>
      <c r="Q771" s="6"/>
    </row>
    <row r="772" spans="5:17" ht="16">
      <c r="E772" s="6"/>
      <c r="F772" s="6"/>
      <c r="G772" s="6"/>
      <c r="H772" s="6"/>
      <c r="I772" s="6"/>
      <c r="J772" s="6"/>
      <c r="K772" s="6"/>
      <c r="L772" s="6"/>
      <c r="M772" s="6"/>
      <c r="N772" s="6"/>
      <c r="O772" s="6"/>
      <c r="P772" s="6"/>
      <c r="Q772" s="6"/>
    </row>
    <row r="773" spans="5:17" ht="16">
      <c r="E773" s="6"/>
      <c r="F773" s="6"/>
      <c r="G773" s="6"/>
      <c r="H773" s="6"/>
      <c r="I773" s="6"/>
      <c r="J773" s="6"/>
      <c r="K773" s="6"/>
      <c r="L773" s="6"/>
      <c r="M773" s="6"/>
      <c r="N773" s="6"/>
      <c r="O773" s="6"/>
      <c r="P773" s="6"/>
      <c r="Q773" s="6"/>
    </row>
    <row r="774" spans="5:17" ht="16">
      <c r="E774" s="6"/>
      <c r="F774" s="6"/>
      <c r="G774" s="6"/>
      <c r="H774" s="6"/>
      <c r="I774" s="6"/>
      <c r="J774" s="6"/>
      <c r="K774" s="6"/>
      <c r="L774" s="6"/>
      <c r="M774" s="6"/>
      <c r="N774" s="6"/>
      <c r="O774" s="6"/>
      <c r="P774" s="6"/>
      <c r="Q774" s="6"/>
    </row>
    <row r="775" spans="5:17" ht="16">
      <c r="E775" s="6"/>
      <c r="F775" s="6"/>
      <c r="G775" s="6"/>
      <c r="H775" s="6"/>
      <c r="I775" s="6"/>
      <c r="J775" s="6"/>
      <c r="K775" s="6"/>
      <c r="L775" s="6"/>
      <c r="M775" s="6"/>
      <c r="N775" s="6"/>
      <c r="O775" s="6"/>
      <c r="P775" s="6"/>
      <c r="Q775" s="6"/>
    </row>
    <row r="776" spans="5:17" ht="16">
      <c r="E776" s="6"/>
      <c r="F776" s="6"/>
      <c r="G776" s="6"/>
      <c r="H776" s="6"/>
      <c r="I776" s="6"/>
      <c r="J776" s="6"/>
      <c r="K776" s="6"/>
      <c r="L776" s="6"/>
      <c r="M776" s="6"/>
      <c r="N776" s="6"/>
      <c r="O776" s="6"/>
      <c r="P776" s="6"/>
      <c r="Q776" s="6"/>
    </row>
    <row r="777" spans="5:17" ht="16">
      <c r="E777" s="6"/>
      <c r="F777" s="6"/>
      <c r="G777" s="6"/>
      <c r="H777" s="6"/>
      <c r="I777" s="6"/>
      <c r="J777" s="6"/>
      <c r="K777" s="6"/>
      <c r="L777" s="6"/>
      <c r="M777" s="6"/>
      <c r="N777" s="6"/>
      <c r="O777" s="6"/>
      <c r="P777" s="6"/>
      <c r="Q777" s="6"/>
    </row>
    <row r="778" spans="5:17" ht="16">
      <c r="E778" s="6"/>
      <c r="F778" s="6"/>
      <c r="G778" s="6"/>
      <c r="H778" s="6"/>
      <c r="I778" s="6"/>
      <c r="J778" s="6"/>
      <c r="K778" s="6"/>
      <c r="L778" s="6"/>
      <c r="M778" s="6"/>
      <c r="N778" s="6"/>
      <c r="O778" s="6"/>
      <c r="P778" s="6"/>
      <c r="Q778" s="6"/>
    </row>
    <row r="779" spans="5:17" ht="16">
      <c r="E779" s="6"/>
      <c r="F779" s="6"/>
      <c r="G779" s="6"/>
      <c r="H779" s="6"/>
      <c r="I779" s="6"/>
      <c r="J779" s="6"/>
      <c r="K779" s="6"/>
      <c r="L779" s="6"/>
      <c r="M779" s="6"/>
      <c r="N779" s="6"/>
      <c r="O779" s="6"/>
      <c r="P779" s="6"/>
      <c r="Q779" s="6"/>
    </row>
    <row r="780" spans="5:17" ht="16">
      <c r="E780" s="6"/>
      <c r="F780" s="6"/>
      <c r="G780" s="6"/>
      <c r="H780" s="6"/>
      <c r="I780" s="6"/>
      <c r="J780" s="6"/>
      <c r="K780" s="6"/>
      <c r="L780" s="6"/>
      <c r="M780" s="6"/>
      <c r="N780" s="6"/>
      <c r="O780" s="6"/>
      <c r="P780" s="6"/>
      <c r="Q780" s="6"/>
    </row>
    <row r="781" spans="5:17" ht="16">
      <c r="E781" s="6"/>
      <c r="F781" s="6"/>
      <c r="G781" s="6"/>
      <c r="H781" s="6"/>
      <c r="I781" s="6"/>
      <c r="J781" s="6"/>
      <c r="K781" s="6"/>
      <c r="L781" s="6"/>
      <c r="M781" s="6"/>
      <c r="N781" s="6"/>
      <c r="O781" s="6"/>
      <c r="P781" s="6"/>
      <c r="Q781" s="6"/>
    </row>
    <row r="782" spans="5:17" ht="16">
      <c r="E782" s="6"/>
      <c r="F782" s="6"/>
      <c r="G782" s="6"/>
      <c r="H782" s="6"/>
      <c r="I782" s="6"/>
      <c r="J782" s="6"/>
      <c r="K782" s="6"/>
      <c r="L782" s="6"/>
      <c r="M782" s="6"/>
      <c r="N782" s="6"/>
      <c r="O782" s="6"/>
      <c r="P782" s="6"/>
      <c r="Q782" s="6"/>
    </row>
    <row r="783" spans="5:17" ht="16">
      <c r="E783" s="6"/>
      <c r="F783" s="6"/>
      <c r="G783" s="6"/>
      <c r="H783" s="6"/>
      <c r="I783" s="6"/>
      <c r="J783" s="6"/>
      <c r="K783" s="6"/>
      <c r="L783" s="6"/>
      <c r="M783" s="6"/>
      <c r="N783" s="6"/>
      <c r="O783" s="6"/>
      <c r="P783" s="6"/>
      <c r="Q783" s="6"/>
    </row>
    <row r="784" spans="5:17" ht="16">
      <c r="E784" s="6"/>
      <c r="F784" s="6"/>
      <c r="G784" s="6"/>
      <c r="H784" s="6"/>
      <c r="I784" s="6"/>
      <c r="J784" s="6"/>
      <c r="K784" s="6"/>
      <c r="L784" s="6"/>
      <c r="M784" s="6"/>
      <c r="N784" s="6"/>
      <c r="O784" s="6"/>
      <c r="P784" s="6"/>
      <c r="Q784" s="6"/>
    </row>
    <row r="785" spans="5:17" ht="16">
      <c r="E785" s="6"/>
      <c r="F785" s="6"/>
      <c r="G785" s="6"/>
      <c r="H785" s="6"/>
      <c r="I785" s="6"/>
      <c r="J785" s="6"/>
      <c r="K785" s="6"/>
      <c r="L785" s="6"/>
      <c r="M785" s="6"/>
      <c r="N785" s="6"/>
      <c r="O785" s="6"/>
      <c r="P785" s="6"/>
      <c r="Q785" s="6"/>
    </row>
    <row r="786" spans="5:17" ht="16">
      <c r="E786" s="6"/>
      <c r="F786" s="6"/>
      <c r="G786" s="6"/>
      <c r="H786" s="6"/>
      <c r="I786" s="6"/>
      <c r="J786" s="6"/>
      <c r="K786" s="6"/>
      <c r="L786" s="6"/>
      <c r="M786" s="6"/>
      <c r="N786" s="6"/>
      <c r="O786" s="6"/>
      <c r="P786" s="6"/>
      <c r="Q786" s="6"/>
    </row>
    <row r="787" spans="5:17" ht="16">
      <c r="E787" s="6"/>
      <c r="F787" s="6"/>
      <c r="G787" s="6"/>
      <c r="H787" s="6"/>
      <c r="I787" s="6"/>
      <c r="J787" s="6"/>
      <c r="K787" s="6"/>
      <c r="L787" s="6"/>
      <c r="M787" s="6"/>
      <c r="N787" s="6"/>
      <c r="O787" s="6"/>
      <c r="P787" s="6"/>
      <c r="Q787" s="6"/>
    </row>
    <row r="788" spans="5:17" ht="16">
      <c r="E788" s="6"/>
      <c r="F788" s="6"/>
      <c r="G788" s="6"/>
      <c r="H788" s="6"/>
      <c r="I788" s="6"/>
      <c r="J788" s="6"/>
      <c r="K788" s="6"/>
      <c r="L788" s="6"/>
      <c r="M788" s="6"/>
      <c r="N788" s="6"/>
      <c r="O788" s="6"/>
      <c r="P788" s="6"/>
      <c r="Q788" s="6"/>
    </row>
    <row r="789" spans="5:17" ht="16">
      <c r="E789" s="6"/>
      <c r="F789" s="6"/>
      <c r="G789" s="6"/>
      <c r="H789" s="6"/>
      <c r="I789" s="6"/>
      <c r="J789" s="6"/>
      <c r="K789" s="6"/>
      <c r="L789" s="6"/>
      <c r="M789" s="6"/>
      <c r="N789" s="6"/>
      <c r="O789" s="6"/>
      <c r="P789" s="6"/>
      <c r="Q789" s="6"/>
    </row>
    <row r="790" spans="5:17" ht="16">
      <c r="E790" s="6"/>
      <c r="F790" s="6"/>
      <c r="G790" s="6"/>
      <c r="H790" s="6"/>
      <c r="I790" s="6"/>
      <c r="J790" s="6"/>
      <c r="K790" s="6"/>
      <c r="L790" s="6"/>
      <c r="M790" s="6"/>
      <c r="N790" s="6"/>
      <c r="O790" s="6"/>
      <c r="P790" s="6"/>
      <c r="Q790" s="6"/>
    </row>
    <row r="791" spans="5:17" ht="16">
      <c r="E791" s="6"/>
      <c r="F791" s="6"/>
      <c r="G791" s="6"/>
      <c r="H791" s="6"/>
      <c r="I791" s="6"/>
      <c r="J791" s="6"/>
      <c r="K791" s="6"/>
      <c r="L791" s="6"/>
      <c r="M791" s="6"/>
      <c r="N791" s="6"/>
      <c r="O791" s="6"/>
      <c r="P791" s="6"/>
      <c r="Q791" s="6"/>
    </row>
    <row r="792" spans="5:17" ht="16">
      <c r="E792" s="6"/>
      <c r="F792" s="6"/>
      <c r="G792" s="6"/>
      <c r="H792" s="6"/>
      <c r="I792" s="6"/>
      <c r="J792" s="6"/>
      <c r="K792" s="6"/>
      <c r="L792" s="6"/>
      <c r="M792" s="6"/>
      <c r="N792" s="6"/>
      <c r="O792" s="6"/>
      <c r="P792" s="6"/>
      <c r="Q792" s="6"/>
    </row>
    <row r="793" spans="5:17" ht="16">
      <c r="E793" s="6"/>
      <c r="F793" s="6"/>
      <c r="G793" s="6"/>
      <c r="H793" s="6"/>
      <c r="I793" s="6"/>
      <c r="J793" s="6"/>
      <c r="K793" s="6"/>
      <c r="L793" s="6"/>
      <c r="M793" s="6"/>
      <c r="N793" s="6"/>
      <c r="O793" s="6"/>
      <c r="P793" s="6"/>
      <c r="Q793" s="6"/>
    </row>
    <row r="794" spans="5:17" ht="16">
      <c r="E794" s="6"/>
      <c r="F794" s="6"/>
      <c r="G794" s="6"/>
      <c r="H794" s="6"/>
      <c r="I794" s="6"/>
      <c r="J794" s="6"/>
      <c r="K794" s="6"/>
      <c r="L794" s="6"/>
      <c r="M794" s="6"/>
      <c r="N794" s="6"/>
      <c r="O794" s="6"/>
      <c r="P794" s="6"/>
      <c r="Q794" s="6"/>
    </row>
    <row r="795" spans="5:17" ht="16">
      <c r="E795" s="6"/>
      <c r="F795" s="6"/>
      <c r="G795" s="6"/>
      <c r="H795" s="6"/>
      <c r="I795" s="6"/>
      <c r="J795" s="6"/>
      <c r="K795" s="6"/>
      <c r="L795" s="6"/>
      <c r="M795" s="6"/>
      <c r="N795" s="6"/>
      <c r="O795" s="6"/>
      <c r="P795" s="6"/>
      <c r="Q795" s="6"/>
    </row>
    <row r="796" spans="5:17" ht="16">
      <c r="E796" s="6"/>
      <c r="F796" s="6"/>
      <c r="G796" s="6"/>
      <c r="H796" s="6"/>
      <c r="I796" s="6"/>
      <c r="J796" s="6"/>
      <c r="K796" s="6"/>
      <c r="L796" s="6"/>
      <c r="M796" s="6"/>
      <c r="N796" s="6"/>
      <c r="O796" s="6"/>
      <c r="P796" s="6"/>
      <c r="Q796" s="6"/>
    </row>
    <row r="797" spans="5:17" ht="16">
      <c r="E797" s="6"/>
      <c r="F797" s="6"/>
      <c r="G797" s="6"/>
      <c r="H797" s="6"/>
      <c r="I797" s="6"/>
      <c r="J797" s="6"/>
      <c r="K797" s="6"/>
      <c r="L797" s="6"/>
      <c r="M797" s="6"/>
      <c r="N797" s="6"/>
      <c r="O797" s="6"/>
      <c r="P797" s="6"/>
      <c r="Q797" s="6"/>
    </row>
    <row r="798" spans="5:17" ht="16">
      <c r="E798" s="6"/>
      <c r="F798" s="6"/>
      <c r="G798" s="6"/>
      <c r="H798" s="6"/>
      <c r="I798" s="6"/>
      <c r="J798" s="6"/>
      <c r="K798" s="6"/>
      <c r="L798" s="6"/>
      <c r="M798" s="6"/>
      <c r="N798" s="6"/>
      <c r="O798" s="6"/>
      <c r="P798" s="6"/>
      <c r="Q798" s="6"/>
    </row>
    <row r="799" spans="5:17" ht="16">
      <c r="E799" s="6"/>
      <c r="F799" s="6"/>
      <c r="G799" s="6"/>
      <c r="H799" s="6"/>
      <c r="I799" s="6"/>
      <c r="J799" s="6"/>
      <c r="K799" s="6"/>
      <c r="L799" s="6"/>
      <c r="M799" s="6"/>
      <c r="N799" s="6"/>
      <c r="O799" s="6"/>
      <c r="P799" s="6"/>
      <c r="Q799" s="6"/>
    </row>
    <row r="800" spans="5:17" ht="16">
      <c r="E800" s="6"/>
      <c r="F800" s="6"/>
      <c r="G800" s="6"/>
      <c r="H800" s="6"/>
      <c r="I800" s="6"/>
      <c r="J800" s="6"/>
      <c r="K800" s="6"/>
      <c r="L800" s="6"/>
      <c r="M800" s="6"/>
      <c r="N800" s="6"/>
      <c r="O800" s="6"/>
      <c r="P800" s="6"/>
      <c r="Q800" s="6"/>
    </row>
    <row r="801" spans="5:17" ht="16">
      <c r="E801" s="6"/>
      <c r="F801" s="6"/>
      <c r="G801" s="6"/>
      <c r="H801" s="6"/>
      <c r="I801" s="6"/>
      <c r="J801" s="6"/>
      <c r="K801" s="6"/>
      <c r="L801" s="6"/>
      <c r="M801" s="6"/>
      <c r="N801" s="6"/>
      <c r="O801" s="6"/>
      <c r="P801" s="6"/>
      <c r="Q801" s="6"/>
    </row>
    <row r="802" spans="5:17" ht="16">
      <c r="E802" s="6"/>
      <c r="F802" s="6"/>
      <c r="G802" s="6"/>
      <c r="H802" s="6"/>
      <c r="I802" s="6"/>
      <c r="J802" s="6"/>
      <c r="K802" s="6"/>
      <c r="L802" s="6"/>
      <c r="M802" s="6"/>
      <c r="N802" s="6"/>
      <c r="O802" s="6"/>
      <c r="P802" s="6"/>
      <c r="Q802" s="6"/>
    </row>
    <row r="803" spans="5:17" ht="16">
      <c r="E803" s="6"/>
      <c r="F803" s="6"/>
      <c r="G803" s="6"/>
      <c r="H803" s="6"/>
      <c r="I803" s="6"/>
      <c r="J803" s="6"/>
      <c r="K803" s="6"/>
      <c r="L803" s="6"/>
      <c r="M803" s="6"/>
      <c r="N803" s="6"/>
      <c r="O803" s="6"/>
      <c r="P803" s="6"/>
      <c r="Q803" s="6"/>
    </row>
    <row r="804" spans="5:17" ht="16">
      <c r="E804" s="6"/>
      <c r="F804" s="6"/>
      <c r="G804" s="6"/>
      <c r="H804" s="6"/>
      <c r="I804" s="6"/>
      <c r="J804" s="6"/>
      <c r="K804" s="6"/>
      <c r="L804" s="6"/>
      <c r="M804" s="6"/>
      <c r="N804" s="6"/>
      <c r="O804" s="6"/>
      <c r="P804" s="6"/>
      <c r="Q804" s="6"/>
    </row>
    <row r="805" spans="5:17" ht="16">
      <c r="E805" s="6"/>
      <c r="F805" s="6"/>
      <c r="G805" s="6"/>
      <c r="H805" s="6"/>
      <c r="I805" s="6"/>
      <c r="J805" s="6"/>
      <c r="K805" s="6"/>
      <c r="L805" s="6"/>
      <c r="M805" s="6"/>
      <c r="N805" s="6"/>
      <c r="O805" s="6"/>
      <c r="P805" s="6"/>
      <c r="Q805" s="6"/>
    </row>
    <row r="806" spans="5:17" ht="16">
      <c r="E806" s="6"/>
      <c r="F806" s="6"/>
      <c r="G806" s="6"/>
      <c r="H806" s="6"/>
      <c r="I806" s="6"/>
      <c r="J806" s="6"/>
      <c r="K806" s="6"/>
      <c r="L806" s="6"/>
      <c r="M806" s="6"/>
      <c r="N806" s="6"/>
      <c r="O806" s="6"/>
      <c r="P806" s="6"/>
      <c r="Q806" s="6"/>
    </row>
    <row r="807" spans="5:17" ht="16">
      <c r="E807" s="6"/>
      <c r="F807" s="6"/>
      <c r="G807" s="6"/>
      <c r="H807" s="6"/>
      <c r="I807" s="6"/>
      <c r="J807" s="6"/>
      <c r="K807" s="6"/>
      <c r="L807" s="6"/>
      <c r="M807" s="6"/>
      <c r="N807" s="6"/>
      <c r="O807" s="6"/>
      <c r="P807" s="6"/>
      <c r="Q807" s="6"/>
    </row>
    <row r="808" spans="5:17" ht="16">
      <c r="E808" s="6"/>
      <c r="F808" s="6"/>
      <c r="G808" s="6"/>
      <c r="H808" s="6"/>
      <c r="I808" s="6"/>
      <c r="J808" s="6"/>
      <c r="K808" s="6"/>
      <c r="L808" s="6"/>
      <c r="M808" s="6"/>
      <c r="N808" s="6"/>
      <c r="O808" s="6"/>
      <c r="P808" s="6"/>
      <c r="Q808" s="6"/>
    </row>
    <row r="809" spans="5:17" ht="16">
      <c r="E809" s="6"/>
      <c r="F809" s="6"/>
      <c r="G809" s="6"/>
      <c r="H809" s="6"/>
      <c r="I809" s="6"/>
      <c r="J809" s="6"/>
      <c r="K809" s="6"/>
      <c r="L809" s="6"/>
      <c r="M809" s="6"/>
      <c r="N809" s="6"/>
      <c r="O809" s="6"/>
      <c r="P809" s="6"/>
      <c r="Q809" s="6"/>
    </row>
    <row r="810" spans="5:17" ht="16">
      <c r="E810" s="6"/>
      <c r="F810" s="6"/>
      <c r="G810" s="6"/>
      <c r="H810" s="6"/>
      <c r="I810" s="6"/>
      <c r="J810" s="6"/>
      <c r="K810" s="6"/>
      <c r="L810" s="6"/>
      <c r="M810" s="6"/>
      <c r="N810" s="6"/>
      <c r="O810" s="6"/>
      <c r="P810" s="6"/>
      <c r="Q810" s="6"/>
    </row>
    <row r="811" spans="5:17" ht="16">
      <c r="E811" s="6"/>
      <c r="F811" s="6"/>
      <c r="G811" s="6"/>
      <c r="H811" s="6"/>
      <c r="I811" s="6"/>
      <c r="J811" s="6"/>
      <c r="K811" s="6"/>
      <c r="L811" s="6"/>
      <c r="M811" s="6"/>
      <c r="N811" s="6"/>
      <c r="O811" s="6"/>
      <c r="P811" s="6"/>
      <c r="Q811" s="6"/>
    </row>
    <row r="812" spans="5:17" ht="16">
      <c r="E812" s="6"/>
      <c r="F812" s="6"/>
      <c r="G812" s="6"/>
      <c r="H812" s="6"/>
      <c r="I812" s="6"/>
      <c r="J812" s="6"/>
      <c r="K812" s="6"/>
      <c r="L812" s="6"/>
      <c r="M812" s="6"/>
      <c r="N812" s="6"/>
      <c r="O812" s="6"/>
      <c r="P812" s="6"/>
      <c r="Q812" s="6"/>
    </row>
    <row r="813" spans="5:17" ht="16">
      <c r="E813" s="6"/>
      <c r="F813" s="6"/>
      <c r="G813" s="6"/>
      <c r="H813" s="6"/>
      <c r="I813" s="6"/>
      <c r="J813" s="6"/>
      <c r="K813" s="6"/>
      <c r="L813" s="6"/>
      <c r="M813" s="6"/>
      <c r="N813" s="6"/>
      <c r="O813" s="6"/>
      <c r="P813" s="6"/>
      <c r="Q813" s="6"/>
    </row>
    <row r="814" spans="5:17" ht="16">
      <c r="E814" s="6"/>
      <c r="F814" s="6"/>
      <c r="G814" s="6"/>
      <c r="H814" s="6"/>
      <c r="I814" s="6"/>
      <c r="J814" s="6"/>
      <c r="K814" s="6"/>
      <c r="L814" s="6"/>
      <c r="M814" s="6"/>
      <c r="N814" s="6"/>
      <c r="O814" s="6"/>
      <c r="P814" s="6"/>
      <c r="Q814" s="6"/>
    </row>
    <row r="815" spans="5:17" ht="16">
      <c r="E815" s="6"/>
      <c r="F815" s="6"/>
      <c r="G815" s="6"/>
      <c r="H815" s="6"/>
      <c r="I815" s="6"/>
      <c r="J815" s="6"/>
      <c r="K815" s="6"/>
      <c r="L815" s="6"/>
      <c r="M815" s="6"/>
      <c r="N815" s="6"/>
      <c r="O815" s="6"/>
      <c r="P815" s="6"/>
      <c r="Q815" s="6"/>
    </row>
    <row r="816" spans="5:17" ht="16">
      <c r="E816" s="6"/>
      <c r="F816" s="6"/>
      <c r="G816" s="6"/>
      <c r="H816" s="6"/>
      <c r="I816" s="6"/>
      <c r="J816" s="6"/>
      <c r="K816" s="6"/>
      <c r="L816" s="6"/>
      <c r="M816" s="6"/>
      <c r="N816" s="6"/>
      <c r="O816" s="6"/>
      <c r="P816" s="6"/>
      <c r="Q816" s="6"/>
    </row>
    <row r="817" spans="5:17" ht="16">
      <c r="E817" s="6"/>
      <c r="F817" s="6"/>
      <c r="G817" s="6"/>
      <c r="H817" s="6"/>
      <c r="I817" s="6"/>
      <c r="J817" s="6"/>
      <c r="K817" s="6"/>
      <c r="L817" s="6"/>
      <c r="M817" s="6"/>
      <c r="N817" s="6"/>
      <c r="O817" s="6"/>
      <c r="P817" s="6"/>
      <c r="Q817" s="6"/>
    </row>
    <row r="818" spans="5:17" ht="16">
      <c r="E818" s="6"/>
      <c r="F818" s="6"/>
      <c r="G818" s="6"/>
      <c r="H818" s="6"/>
      <c r="I818" s="6"/>
      <c r="J818" s="6"/>
      <c r="K818" s="6"/>
      <c r="L818" s="6"/>
      <c r="M818" s="6"/>
      <c r="N818" s="6"/>
      <c r="O818" s="6"/>
      <c r="P818" s="6"/>
      <c r="Q818" s="6"/>
    </row>
    <row r="819" spans="5:17" ht="16">
      <c r="E819" s="6"/>
      <c r="F819" s="6"/>
      <c r="G819" s="6"/>
      <c r="H819" s="6"/>
      <c r="I819" s="6"/>
      <c r="J819" s="6"/>
      <c r="K819" s="6"/>
      <c r="L819" s="6"/>
      <c r="M819" s="6"/>
      <c r="N819" s="6"/>
      <c r="O819" s="6"/>
      <c r="P819" s="6"/>
      <c r="Q819" s="6"/>
    </row>
    <row r="820" spans="5:17" ht="16">
      <c r="E820" s="6"/>
      <c r="F820" s="6"/>
      <c r="G820" s="6"/>
      <c r="H820" s="6"/>
      <c r="I820" s="6"/>
      <c r="J820" s="6"/>
      <c r="K820" s="6"/>
      <c r="L820" s="6"/>
      <c r="M820" s="6"/>
      <c r="N820" s="6"/>
      <c r="O820" s="6"/>
      <c r="P820" s="6"/>
      <c r="Q820" s="6"/>
    </row>
    <row r="821" spans="5:17" ht="16">
      <c r="E821" s="6"/>
      <c r="F821" s="6"/>
      <c r="G821" s="6"/>
      <c r="H821" s="6"/>
      <c r="I821" s="6"/>
      <c r="J821" s="6"/>
      <c r="K821" s="6"/>
      <c r="L821" s="6"/>
      <c r="M821" s="6"/>
      <c r="N821" s="6"/>
      <c r="O821" s="6"/>
      <c r="P821" s="6"/>
      <c r="Q821" s="6"/>
    </row>
    <row r="822" spans="5:17" ht="16">
      <c r="E822" s="6"/>
      <c r="F822" s="6"/>
      <c r="G822" s="6"/>
      <c r="H822" s="6"/>
      <c r="I822" s="6"/>
      <c r="J822" s="6"/>
      <c r="K822" s="6"/>
      <c r="L822" s="6"/>
      <c r="M822" s="6"/>
      <c r="N822" s="6"/>
      <c r="O822" s="6"/>
      <c r="P822" s="6"/>
      <c r="Q822" s="6"/>
    </row>
    <row r="823" spans="5:17" ht="16">
      <c r="E823" s="6"/>
      <c r="F823" s="6"/>
      <c r="G823" s="6"/>
      <c r="H823" s="6"/>
      <c r="I823" s="6"/>
      <c r="J823" s="6"/>
      <c r="K823" s="6"/>
      <c r="L823" s="6"/>
      <c r="M823" s="6"/>
      <c r="N823" s="6"/>
      <c r="O823" s="6"/>
      <c r="P823" s="6"/>
      <c r="Q823" s="6"/>
    </row>
    <row r="824" spans="5:17" ht="16">
      <c r="E824" s="6"/>
      <c r="F824" s="6"/>
      <c r="G824" s="6"/>
      <c r="H824" s="6"/>
      <c r="I824" s="6"/>
      <c r="J824" s="6"/>
      <c r="K824" s="6"/>
      <c r="L824" s="6"/>
      <c r="M824" s="6"/>
      <c r="N824" s="6"/>
      <c r="O824" s="6"/>
      <c r="P824" s="6"/>
      <c r="Q824" s="6"/>
    </row>
    <row r="825" spans="5:17" ht="16">
      <c r="E825" s="6"/>
      <c r="F825" s="6"/>
      <c r="G825" s="6"/>
      <c r="H825" s="6"/>
      <c r="I825" s="6"/>
      <c r="J825" s="6"/>
      <c r="K825" s="6"/>
      <c r="L825" s="6"/>
      <c r="M825" s="6"/>
      <c r="N825" s="6"/>
      <c r="O825" s="6"/>
      <c r="P825" s="6"/>
      <c r="Q825" s="6"/>
    </row>
    <row r="826" spans="5:17" ht="16">
      <c r="E826" s="6"/>
      <c r="F826" s="6"/>
      <c r="G826" s="6"/>
      <c r="H826" s="6"/>
      <c r="I826" s="6"/>
      <c r="J826" s="6"/>
      <c r="K826" s="6"/>
      <c r="L826" s="6"/>
      <c r="M826" s="6"/>
      <c r="N826" s="6"/>
      <c r="O826" s="6"/>
      <c r="P826" s="6"/>
      <c r="Q826" s="6"/>
    </row>
    <row r="827" spans="5:17" ht="16">
      <c r="E827" s="6"/>
      <c r="F827" s="6"/>
      <c r="G827" s="6"/>
      <c r="H827" s="6"/>
      <c r="I827" s="6"/>
      <c r="J827" s="6"/>
      <c r="K827" s="6"/>
      <c r="L827" s="6"/>
      <c r="M827" s="6"/>
      <c r="N827" s="6"/>
      <c r="O827" s="6"/>
      <c r="P827" s="6"/>
      <c r="Q827" s="6"/>
    </row>
    <row r="828" spans="5:17" ht="16">
      <c r="E828" s="6"/>
      <c r="F828" s="6"/>
      <c r="G828" s="6"/>
      <c r="H828" s="6"/>
      <c r="I828" s="6"/>
      <c r="J828" s="6"/>
      <c r="K828" s="6"/>
      <c r="L828" s="6"/>
      <c r="M828" s="6"/>
      <c r="N828" s="6"/>
      <c r="O828" s="6"/>
      <c r="P828" s="6"/>
      <c r="Q828" s="6"/>
    </row>
    <row r="829" spans="5:17" ht="16">
      <c r="E829" s="6"/>
      <c r="F829" s="6"/>
      <c r="G829" s="6"/>
      <c r="H829" s="6"/>
      <c r="I829" s="6"/>
      <c r="J829" s="6"/>
      <c r="K829" s="6"/>
      <c r="L829" s="6"/>
      <c r="M829" s="6"/>
      <c r="N829" s="6"/>
      <c r="O829" s="6"/>
      <c r="P829" s="6"/>
      <c r="Q829" s="6"/>
    </row>
    <row r="830" spans="5:17" ht="16">
      <c r="E830" s="6"/>
      <c r="F830" s="6"/>
      <c r="G830" s="6"/>
      <c r="H830" s="6"/>
      <c r="I830" s="6"/>
      <c r="J830" s="6"/>
      <c r="K830" s="6"/>
      <c r="L830" s="6"/>
      <c r="M830" s="6"/>
      <c r="N830" s="6"/>
      <c r="O830" s="6"/>
      <c r="P830" s="6"/>
      <c r="Q830" s="6"/>
    </row>
    <row r="831" spans="5:17" ht="16">
      <c r="E831" s="6"/>
      <c r="F831" s="6"/>
      <c r="G831" s="6"/>
      <c r="H831" s="6"/>
      <c r="I831" s="6"/>
      <c r="J831" s="6"/>
      <c r="K831" s="6"/>
      <c r="L831" s="6"/>
      <c r="M831" s="6"/>
      <c r="N831" s="6"/>
      <c r="O831" s="6"/>
      <c r="P831" s="6"/>
      <c r="Q831" s="6"/>
    </row>
    <row r="832" spans="5:17" ht="16">
      <c r="E832" s="6"/>
      <c r="F832" s="6"/>
      <c r="G832" s="6"/>
      <c r="H832" s="6"/>
      <c r="I832" s="6"/>
      <c r="J832" s="6"/>
      <c r="K832" s="6"/>
      <c r="L832" s="6"/>
      <c r="M832" s="6"/>
      <c r="N832" s="6"/>
      <c r="O832" s="6"/>
      <c r="P832" s="6"/>
      <c r="Q832" s="6"/>
    </row>
    <row r="833" spans="5:17" ht="16">
      <c r="E833" s="6"/>
      <c r="F833" s="6"/>
      <c r="G833" s="6"/>
      <c r="H833" s="6"/>
      <c r="I833" s="6"/>
      <c r="J833" s="6"/>
      <c r="K833" s="6"/>
      <c r="L833" s="6"/>
      <c r="M833" s="6"/>
      <c r="N833" s="6"/>
      <c r="O833" s="6"/>
      <c r="P833" s="6"/>
      <c r="Q833" s="6"/>
    </row>
    <row r="834" spans="5:17" ht="16">
      <c r="E834" s="6"/>
      <c r="F834" s="6"/>
      <c r="G834" s="6"/>
      <c r="H834" s="6"/>
      <c r="I834" s="6"/>
      <c r="J834" s="6"/>
      <c r="K834" s="6"/>
      <c r="L834" s="6"/>
      <c r="M834" s="6"/>
      <c r="N834" s="6"/>
      <c r="O834" s="6"/>
      <c r="P834" s="6"/>
      <c r="Q834" s="6"/>
    </row>
    <row r="835" spans="5:17" ht="16">
      <c r="E835" s="6"/>
      <c r="F835" s="6"/>
      <c r="G835" s="6"/>
      <c r="H835" s="6"/>
      <c r="I835" s="6"/>
      <c r="J835" s="6"/>
      <c r="K835" s="6"/>
      <c r="L835" s="6"/>
      <c r="M835" s="6"/>
      <c r="N835" s="6"/>
      <c r="O835" s="6"/>
      <c r="P835" s="6"/>
      <c r="Q835" s="6"/>
    </row>
    <row r="836" spans="5:17" ht="16">
      <c r="E836" s="6"/>
      <c r="F836" s="6"/>
      <c r="G836" s="6"/>
      <c r="H836" s="6"/>
      <c r="I836" s="6"/>
      <c r="J836" s="6"/>
      <c r="K836" s="6"/>
      <c r="L836" s="6"/>
      <c r="M836" s="6"/>
      <c r="N836" s="6"/>
      <c r="O836" s="6"/>
      <c r="P836" s="6"/>
      <c r="Q836" s="6"/>
    </row>
    <row r="837" spans="5:17" ht="16">
      <c r="E837" s="6"/>
      <c r="F837" s="6"/>
      <c r="G837" s="6"/>
      <c r="H837" s="6"/>
      <c r="I837" s="6"/>
      <c r="J837" s="6"/>
      <c r="K837" s="6"/>
      <c r="L837" s="6"/>
      <c r="M837" s="6"/>
      <c r="N837" s="6"/>
      <c r="O837" s="6"/>
      <c r="P837" s="6"/>
      <c r="Q837" s="6"/>
    </row>
    <row r="838" spans="5:17" ht="16">
      <c r="E838" s="6"/>
      <c r="F838" s="6"/>
      <c r="G838" s="6"/>
      <c r="H838" s="6"/>
      <c r="I838" s="6"/>
      <c r="J838" s="6"/>
      <c r="K838" s="6"/>
      <c r="L838" s="6"/>
      <c r="M838" s="6"/>
      <c r="N838" s="6"/>
      <c r="O838" s="6"/>
      <c r="P838" s="6"/>
      <c r="Q838" s="6"/>
    </row>
    <row r="839" spans="5:17" ht="16">
      <c r="E839" s="6"/>
      <c r="F839" s="6"/>
      <c r="G839" s="6"/>
      <c r="H839" s="6"/>
      <c r="I839" s="6"/>
      <c r="J839" s="6"/>
      <c r="K839" s="6"/>
      <c r="L839" s="6"/>
      <c r="M839" s="6"/>
      <c r="N839" s="6"/>
      <c r="O839" s="6"/>
      <c r="P839" s="6"/>
      <c r="Q839" s="6"/>
    </row>
    <row r="840" spans="5:17" ht="16">
      <c r="E840" s="6"/>
      <c r="F840" s="6"/>
      <c r="G840" s="6"/>
      <c r="H840" s="6"/>
      <c r="I840" s="6"/>
      <c r="J840" s="6"/>
      <c r="K840" s="6"/>
      <c r="L840" s="6"/>
      <c r="M840" s="6"/>
      <c r="N840" s="6"/>
      <c r="O840" s="6"/>
      <c r="P840" s="6"/>
      <c r="Q840" s="6"/>
    </row>
    <row r="841" spans="5:17" ht="16">
      <c r="E841" s="6"/>
      <c r="F841" s="6"/>
      <c r="G841" s="6"/>
      <c r="H841" s="6"/>
      <c r="I841" s="6"/>
      <c r="J841" s="6"/>
      <c r="K841" s="6"/>
      <c r="L841" s="6"/>
      <c r="M841" s="6"/>
      <c r="N841" s="6"/>
      <c r="O841" s="6"/>
      <c r="P841" s="6"/>
      <c r="Q841" s="6"/>
    </row>
    <row r="842" spans="5:17" ht="16">
      <c r="E842" s="6"/>
      <c r="F842" s="6"/>
      <c r="G842" s="6"/>
      <c r="H842" s="6"/>
      <c r="I842" s="6"/>
      <c r="J842" s="6"/>
      <c r="K842" s="6"/>
      <c r="L842" s="6"/>
      <c r="M842" s="6"/>
      <c r="N842" s="6"/>
      <c r="O842" s="6"/>
      <c r="P842" s="6"/>
      <c r="Q842" s="6"/>
    </row>
    <row r="843" spans="5:17" ht="16">
      <c r="E843" s="6"/>
      <c r="F843" s="6"/>
      <c r="G843" s="6"/>
      <c r="H843" s="6"/>
      <c r="I843" s="6"/>
      <c r="J843" s="6"/>
      <c r="K843" s="6"/>
      <c r="L843" s="6"/>
      <c r="M843" s="6"/>
      <c r="N843" s="6"/>
      <c r="O843" s="6"/>
      <c r="P843" s="6"/>
      <c r="Q843" s="6"/>
    </row>
    <row r="844" spans="5:17" ht="16">
      <c r="E844" s="6"/>
      <c r="F844" s="6"/>
      <c r="G844" s="6"/>
      <c r="H844" s="6"/>
      <c r="I844" s="6"/>
      <c r="J844" s="6"/>
      <c r="K844" s="6"/>
      <c r="L844" s="6"/>
      <c r="M844" s="6"/>
      <c r="N844" s="6"/>
      <c r="O844" s="6"/>
      <c r="P844" s="6"/>
      <c r="Q844" s="6"/>
    </row>
    <row r="845" spans="5:17" ht="16">
      <c r="E845" s="6"/>
      <c r="F845" s="6"/>
      <c r="G845" s="6"/>
      <c r="H845" s="6"/>
      <c r="I845" s="6"/>
      <c r="J845" s="6"/>
      <c r="K845" s="6"/>
      <c r="L845" s="6"/>
      <c r="M845" s="6"/>
      <c r="N845" s="6"/>
      <c r="O845" s="6"/>
      <c r="P845" s="6"/>
      <c r="Q845" s="6"/>
    </row>
    <row r="846" spans="5:17" ht="16">
      <c r="E846" s="6"/>
      <c r="F846" s="6"/>
      <c r="G846" s="6"/>
      <c r="H846" s="6"/>
      <c r="I846" s="6"/>
      <c r="J846" s="6"/>
      <c r="K846" s="6"/>
      <c r="L846" s="6"/>
      <c r="M846" s="6"/>
      <c r="N846" s="6"/>
      <c r="O846" s="6"/>
      <c r="P846" s="6"/>
      <c r="Q846" s="6"/>
    </row>
    <row r="847" spans="5:17" ht="16">
      <c r="E847" s="6"/>
      <c r="F847" s="6"/>
      <c r="G847" s="6"/>
      <c r="H847" s="6"/>
      <c r="I847" s="6"/>
      <c r="J847" s="6"/>
      <c r="K847" s="6"/>
      <c r="L847" s="6"/>
      <c r="M847" s="6"/>
      <c r="N847" s="6"/>
      <c r="O847" s="6"/>
      <c r="P847" s="6"/>
      <c r="Q847" s="6"/>
    </row>
    <row r="848" spans="5:17" ht="16">
      <c r="E848" s="6"/>
      <c r="F848" s="6"/>
      <c r="G848" s="6"/>
      <c r="H848" s="6"/>
      <c r="I848" s="6"/>
      <c r="J848" s="6"/>
      <c r="K848" s="6"/>
      <c r="L848" s="6"/>
      <c r="M848" s="6"/>
      <c r="N848" s="6"/>
      <c r="O848" s="6"/>
      <c r="P848" s="6"/>
      <c r="Q848" s="6"/>
    </row>
    <row r="849" spans="5:17" ht="16">
      <c r="E849" s="6"/>
      <c r="F849" s="6"/>
      <c r="G849" s="6"/>
      <c r="H849" s="6"/>
      <c r="I849" s="6"/>
      <c r="J849" s="6"/>
      <c r="K849" s="6"/>
      <c r="L849" s="6"/>
      <c r="M849" s="6"/>
      <c r="N849" s="6"/>
      <c r="O849" s="6"/>
      <c r="P849" s="6"/>
      <c r="Q849" s="6"/>
    </row>
    <row r="850" spans="5:17" ht="16">
      <c r="E850" s="6"/>
      <c r="F850" s="6"/>
      <c r="G850" s="6"/>
      <c r="H850" s="6"/>
      <c r="I850" s="6"/>
      <c r="J850" s="6"/>
      <c r="K850" s="6"/>
      <c r="L850" s="6"/>
      <c r="M850" s="6"/>
      <c r="N850" s="6"/>
      <c r="O850" s="6"/>
      <c r="P850" s="6"/>
      <c r="Q850" s="6"/>
    </row>
    <row r="851" spans="5:17" ht="16">
      <c r="E851" s="6"/>
      <c r="F851" s="6"/>
      <c r="G851" s="6"/>
      <c r="H851" s="6"/>
      <c r="I851" s="6"/>
      <c r="J851" s="6"/>
      <c r="K851" s="6"/>
      <c r="L851" s="6"/>
      <c r="M851" s="6"/>
      <c r="N851" s="6"/>
      <c r="O851" s="6"/>
      <c r="P851" s="6"/>
      <c r="Q851" s="6"/>
    </row>
    <row r="852" spans="5:17" ht="16">
      <c r="E852" s="6"/>
      <c r="F852" s="6"/>
      <c r="G852" s="6"/>
      <c r="H852" s="6"/>
      <c r="I852" s="6"/>
      <c r="J852" s="6"/>
      <c r="K852" s="6"/>
      <c r="L852" s="6"/>
      <c r="M852" s="6"/>
      <c r="N852" s="6"/>
      <c r="O852" s="6"/>
      <c r="P852" s="6"/>
      <c r="Q852" s="6"/>
    </row>
    <row r="853" spans="5:17" ht="16">
      <c r="E853" s="6"/>
      <c r="F853" s="6"/>
      <c r="G853" s="6"/>
      <c r="H853" s="6"/>
      <c r="I853" s="6"/>
      <c r="J853" s="6"/>
      <c r="K853" s="6"/>
      <c r="L853" s="6"/>
      <c r="M853" s="6"/>
      <c r="N853" s="6"/>
      <c r="O853" s="6"/>
      <c r="P853" s="6"/>
      <c r="Q853" s="6"/>
    </row>
    <row r="854" spans="5:17" ht="16">
      <c r="E854" s="6"/>
      <c r="F854" s="6"/>
      <c r="G854" s="6"/>
      <c r="H854" s="6"/>
      <c r="I854" s="6"/>
      <c r="J854" s="6"/>
      <c r="K854" s="6"/>
      <c r="L854" s="6"/>
      <c r="M854" s="6"/>
      <c r="N854" s="6"/>
      <c r="O854" s="6"/>
      <c r="P854" s="6"/>
      <c r="Q854" s="6"/>
    </row>
    <row r="855" spans="5:17" ht="16">
      <c r="E855" s="6"/>
      <c r="F855" s="6"/>
      <c r="G855" s="6"/>
      <c r="H855" s="6"/>
      <c r="I855" s="6"/>
      <c r="J855" s="6"/>
      <c r="K855" s="6"/>
      <c r="L855" s="6"/>
      <c r="M855" s="6"/>
      <c r="N855" s="6"/>
      <c r="O855" s="6"/>
      <c r="P855" s="6"/>
      <c r="Q855" s="6"/>
    </row>
    <row r="856" spans="5:17" ht="16">
      <c r="E856" s="6"/>
      <c r="F856" s="6"/>
      <c r="G856" s="6"/>
      <c r="H856" s="6"/>
      <c r="I856" s="6"/>
      <c r="J856" s="6"/>
      <c r="K856" s="6"/>
      <c r="L856" s="6"/>
      <c r="M856" s="6"/>
      <c r="N856" s="6"/>
      <c r="O856" s="6"/>
      <c r="P856" s="6"/>
      <c r="Q856" s="6"/>
    </row>
    <row r="857" spans="5:17" ht="16">
      <c r="E857" s="6"/>
      <c r="F857" s="6"/>
      <c r="G857" s="6"/>
      <c r="H857" s="6"/>
      <c r="I857" s="6"/>
      <c r="J857" s="6"/>
      <c r="K857" s="6"/>
      <c r="L857" s="6"/>
      <c r="M857" s="6"/>
      <c r="N857" s="6"/>
      <c r="O857" s="6"/>
      <c r="P857" s="6"/>
      <c r="Q857" s="6"/>
    </row>
    <row r="858" spans="5:17" ht="16">
      <c r="E858" s="6"/>
      <c r="F858" s="6"/>
      <c r="G858" s="6"/>
      <c r="H858" s="6"/>
      <c r="I858" s="6"/>
      <c r="J858" s="6"/>
      <c r="K858" s="6"/>
      <c r="L858" s="6"/>
      <c r="M858" s="6"/>
      <c r="N858" s="6"/>
      <c r="O858" s="6"/>
      <c r="P858" s="6"/>
      <c r="Q858" s="6"/>
    </row>
    <row r="859" spans="5:17" ht="16">
      <c r="E859" s="6"/>
      <c r="F859" s="6"/>
      <c r="G859" s="6"/>
      <c r="H859" s="6"/>
      <c r="I859" s="6"/>
      <c r="J859" s="6"/>
      <c r="K859" s="6"/>
      <c r="L859" s="6"/>
      <c r="M859" s="6"/>
      <c r="N859" s="6"/>
      <c r="O859" s="6"/>
      <c r="P859" s="6"/>
      <c r="Q859" s="6"/>
    </row>
    <row r="860" spans="5:17" ht="16">
      <c r="E860" s="6"/>
      <c r="F860" s="6"/>
      <c r="G860" s="6"/>
      <c r="H860" s="6"/>
      <c r="I860" s="6"/>
      <c r="J860" s="6"/>
      <c r="K860" s="6"/>
      <c r="L860" s="6"/>
      <c r="M860" s="6"/>
      <c r="N860" s="6"/>
      <c r="O860" s="6"/>
      <c r="P860" s="6"/>
      <c r="Q860" s="6"/>
    </row>
    <row r="861" spans="5:17" ht="16">
      <c r="E861" s="6"/>
      <c r="F861" s="6"/>
      <c r="G861" s="6"/>
      <c r="H861" s="6"/>
      <c r="I861" s="6"/>
      <c r="J861" s="6"/>
      <c r="K861" s="6"/>
      <c r="L861" s="6"/>
      <c r="M861" s="6"/>
      <c r="N861" s="6"/>
      <c r="O861" s="6"/>
      <c r="P861" s="6"/>
      <c r="Q861" s="6"/>
    </row>
    <row r="862" spans="5:17" ht="16">
      <c r="E862" s="6"/>
      <c r="F862" s="6"/>
      <c r="G862" s="6"/>
      <c r="H862" s="6"/>
      <c r="I862" s="6"/>
      <c r="J862" s="6"/>
      <c r="K862" s="6"/>
      <c r="L862" s="6"/>
      <c r="M862" s="6"/>
      <c r="N862" s="6"/>
      <c r="O862" s="6"/>
      <c r="P862" s="6"/>
      <c r="Q862" s="6"/>
    </row>
    <row r="863" spans="5:17" ht="16">
      <c r="E863" s="6"/>
      <c r="F863" s="6"/>
      <c r="G863" s="6"/>
      <c r="H863" s="6"/>
      <c r="I863" s="6"/>
      <c r="J863" s="6"/>
      <c r="K863" s="6"/>
      <c r="L863" s="6"/>
      <c r="M863" s="6"/>
      <c r="N863" s="6"/>
      <c r="O863" s="6"/>
      <c r="P863" s="6"/>
      <c r="Q863" s="6"/>
    </row>
    <row r="864" spans="5:17" ht="16">
      <c r="E864" s="6"/>
      <c r="F864" s="6"/>
      <c r="G864" s="6"/>
      <c r="H864" s="6"/>
      <c r="I864" s="6"/>
      <c r="J864" s="6"/>
      <c r="K864" s="6"/>
      <c r="L864" s="6"/>
      <c r="M864" s="6"/>
      <c r="N864" s="6"/>
      <c r="O864" s="6"/>
      <c r="P864" s="6"/>
      <c r="Q864" s="6"/>
    </row>
    <row r="865" spans="5:17" ht="16">
      <c r="E865" s="6"/>
      <c r="F865" s="6"/>
      <c r="G865" s="6"/>
      <c r="H865" s="6"/>
      <c r="I865" s="6"/>
      <c r="J865" s="6"/>
      <c r="K865" s="6"/>
      <c r="L865" s="6"/>
      <c r="M865" s="6"/>
      <c r="N865" s="6"/>
      <c r="O865" s="6"/>
      <c r="P865" s="6"/>
      <c r="Q865" s="6"/>
    </row>
    <row r="866" spans="5:17" ht="16">
      <c r="E866" s="6"/>
      <c r="F866" s="6"/>
      <c r="G866" s="6"/>
      <c r="H866" s="6"/>
      <c r="I866" s="6"/>
      <c r="J866" s="6"/>
      <c r="K866" s="6"/>
      <c r="L866" s="6"/>
      <c r="M866" s="6"/>
      <c r="N866" s="6"/>
      <c r="O866" s="6"/>
      <c r="P866" s="6"/>
      <c r="Q866" s="6"/>
    </row>
    <row r="867" spans="5:17" ht="16">
      <c r="E867" s="6"/>
      <c r="F867" s="6"/>
      <c r="G867" s="6"/>
      <c r="H867" s="6"/>
      <c r="I867" s="6"/>
      <c r="J867" s="6"/>
      <c r="K867" s="6"/>
      <c r="L867" s="6"/>
      <c r="M867" s="6"/>
      <c r="N867" s="6"/>
      <c r="O867" s="6"/>
      <c r="P867" s="6"/>
      <c r="Q867" s="6"/>
    </row>
    <row r="868" spans="5:17" ht="16">
      <c r="E868" s="6"/>
      <c r="F868" s="6"/>
      <c r="G868" s="6"/>
      <c r="H868" s="6"/>
      <c r="I868" s="6"/>
      <c r="J868" s="6"/>
      <c r="K868" s="6"/>
      <c r="L868" s="6"/>
      <c r="M868" s="6"/>
      <c r="N868" s="6"/>
      <c r="O868" s="6"/>
      <c r="P868" s="6"/>
      <c r="Q868" s="6"/>
    </row>
    <row r="869" spans="5:17" ht="16">
      <c r="E869" s="6"/>
      <c r="F869" s="6"/>
      <c r="G869" s="6"/>
      <c r="H869" s="6"/>
      <c r="I869" s="6"/>
      <c r="J869" s="6"/>
      <c r="K869" s="6"/>
      <c r="L869" s="6"/>
      <c r="M869" s="6"/>
      <c r="N869" s="6"/>
      <c r="O869" s="6"/>
      <c r="P869" s="6"/>
      <c r="Q869" s="6"/>
    </row>
    <row r="870" spans="5:17" ht="16">
      <c r="E870" s="6"/>
      <c r="F870" s="6"/>
      <c r="G870" s="6"/>
      <c r="H870" s="6"/>
      <c r="I870" s="6"/>
      <c r="J870" s="6"/>
      <c r="K870" s="6"/>
      <c r="L870" s="6"/>
      <c r="M870" s="6"/>
      <c r="N870" s="6"/>
      <c r="O870" s="6"/>
      <c r="P870" s="6"/>
      <c r="Q870" s="6"/>
    </row>
    <row r="871" spans="5:17" ht="16">
      <c r="E871" s="6"/>
      <c r="F871" s="6"/>
      <c r="G871" s="6"/>
      <c r="H871" s="6"/>
      <c r="I871" s="6"/>
      <c r="J871" s="6"/>
      <c r="K871" s="6"/>
      <c r="L871" s="6"/>
      <c r="M871" s="6"/>
      <c r="N871" s="6"/>
      <c r="O871" s="6"/>
      <c r="P871" s="6"/>
      <c r="Q871" s="6"/>
    </row>
    <row r="872" spans="5:17" ht="16">
      <c r="E872" s="6"/>
      <c r="F872" s="6"/>
      <c r="G872" s="6"/>
      <c r="H872" s="6"/>
      <c r="I872" s="6"/>
      <c r="J872" s="6"/>
      <c r="K872" s="6"/>
      <c r="L872" s="6"/>
      <c r="M872" s="6"/>
      <c r="N872" s="6"/>
      <c r="O872" s="6"/>
      <c r="P872" s="6"/>
      <c r="Q872" s="6"/>
    </row>
    <row r="873" spans="5:17" ht="16">
      <c r="E873" s="6"/>
      <c r="F873" s="6"/>
      <c r="G873" s="6"/>
      <c r="H873" s="6"/>
      <c r="I873" s="6"/>
      <c r="J873" s="6"/>
      <c r="K873" s="6"/>
      <c r="L873" s="6"/>
      <c r="M873" s="6"/>
      <c r="N873" s="6"/>
      <c r="O873" s="6"/>
      <c r="P873" s="6"/>
      <c r="Q873" s="6"/>
    </row>
    <row r="874" spans="5:17" ht="16">
      <c r="E874" s="6"/>
      <c r="F874" s="6"/>
      <c r="G874" s="6"/>
      <c r="H874" s="6"/>
      <c r="I874" s="6"/>
      <c r="J874" s="6"/>
      <c r="K874" s="6"/>
      <c r="L874" s="6"/>
      <c r="M874" s="6"/>
      <c r="N874" s="6"/>
      <c r="O874" s="6"/>
      <c r="P874" s="6"/>
      <c r="Q874" s="6"/>
    </row>
    <row r="875" spans="5:17" ht="16">
      <c r="E875" s="6"/>
      <c r="F875" s="6"/>
      <c r="G875" s="6"/>
      <c r="H875" s="6"/>
      <c r="I875" s="6"/>
      <c r="J875" s="6"/>
      <c r="K875" s="6"/>
      <c r="L875" s="6"/>
      <c r="M875" s="6"/>
      <c r="N875" s="6"/>
      <c r="O875" s="6"/>
      <c r="P875" s="6"/>
      <c r="Q875" s="6"/>
    </row>
    <row r="876" spans="5:17" ht="16">
      <c r="E876" s="6"/>
      <c r="F876" s="6"/>
      <c r="G876" s="6"/>
      <c r="H876" s="6"/>
      <c r="I876" s="6"/>
      <c r="J876" s="6"/>
      <c r="K876" s="6"/>
      <c r="L876" s="6"/>
      <c r="M876" s="6"/>
      <c r="N876" s="6"/>
      <c r="O876" s="6"/>
      <c r="P876" s="6"/>
      <c r="Q876" s="6"/>
    </row>
    <row r="877" spans="5:17" ht="16">
      <c r="E877" s="6"/>
      <c r="F877" s="6"/>
      <c r="G877" s="6"/>
      <c r="H877" s="6"/>
      <c r="I877" s="6"/>
      <c r="J877" s="6"/>
      <c r="K877" s="6"/>
      <c r="L877" s="6"/>
      <c r="M877" s="6"/>
      <c r="N877" s="6"/>
      <c r="O877" s="6"/>
      <c r="P877" s="6"/>
      <c r="Q877" s="6"/>
    </row>
    <row r="878" spans="5:17" ht="16">
      <c r="E878" s="6"/>
      <c r="F878" s="6"/>
      <c r="G878" s="6"/>
      <c r="H878" s="6"/>
      <c r="I878" s="6"/>
      <c r="J878" s="6"/>
      <c r="K878" s="6"/>
      <c r="L878" s="6"/>
      <c r="M878" s="6"/>
      <c r="N878" s="6"/>
      <c r="O878" s="6"/>
      <c r="P878" s="6"/>
      <c r="Q878" s="6"/>
    </row>
    <row r="879" spans="5:17" ht="16">
      <c r="E879" s="6"/>
      <c r="F879" s="6"/>
      <c r="G879" s="6"/>
      <c r="H879" s="6"/>
      <c r="I879" s="6"/>
      <c r="J879" s="6"/>
      <c r="K879" s="6"/>
      <c r="L879" s="6"/>
      <c r="M879" s="6"/>
      <c r="N879" s="6"/>
      <c r="O879" s="6"/>
      <c r="P879" s="6"/>
      <c r="Q879" s="6"/>
    </row>
    <row r="880" spans="5:17" ht="16">
      <c r="E880" s="6"/>
      <c r="F880" s="6"/>
      <c r="G880" s="6"/>
      <c r="H880" s="6"/>
      <c r="I880" s="6"/>
      <c r="J880" s="6"/>
      <c r="K880" s="6"/>
      <c r="L880" s="6"/>
      <c r="M880" s="6"/>
      <c r="N880" s="6"/>
      <c r="O880" s="6"/>
      <c r="P880" s="6"/>
      <c r="Q880" s="6"/>
    </row>
    <row r="881" spans="5:17" ht="16">
      <c r="E881" s="6"/>
      <c r="F881" s="6"/>
      <c r="G881" s="6"/>
      <c r="H881" s="6"/>
      <c r="I881" s="6"/>
      <c r="J881" s="6"/>
      <c r="K881" s="6"/>
      <c r="L881" s="6"/>
      <c r="M881" s="6"/>
      <c r="N881" s="6"/>
      <c r="O881" s="6"/>
      <c r="P881" s="6"/>
      <c r="Q881" s="6"/>
    </row>
    <row r="882" spans="5:17" ht="16">
      <c r="E882" s="6"/>
      <c r="F882" s="6"/>
      <c r="G882" s="6"/>
      <c r="H882" s="6"/>
      <c r="I882" s="6"/>
      <c r="J882" s="6"/>
      <c r="K882" s="6"/>
      <c r="L882" s="6"/>
      <c r="M882" s="6"/>
      <c r="N882" s="6"/>
      <c r="O882" s="6"/>
      <c r="P882" s="6"/>
      <c r="Q882" s="6"/>
    </row>
    <row r="883" spans="5:17" ht="16">
      <c r="E883" s="6"/>
      <c r="F883" s="6"/>
      <c r="G883" s="6"/>
      <c r="H883" s="6"/>
      <c r="I883" s="6"/>
      <c r="J883" s="6"/>
      <c r="K883" s="6"/>
      <c r="L883" s="6"/>
      <c r="M883" s="6"/>
      <c r="N883" s="6"/>
      <c r="O883" s="6"/>
      <c r="P883" s="6"/>
      <c r="Q883" s="6"/>
    </row>
    <row r="884" spans="5:17" ht="16">
      <c r="E884" s="6"/>
      <c r="F884" s="6"/>
      <c r="G884" s="6"/>
      <c r="H884" s="6"/>
      <c r="I884" s="6"/>
      <c r="J884" s="6"/>
      <c r="K884" s="6"/>
      <c r="L884" s="6"/>
      <c r="M884" s="6"/>
      <c r="N884" s="6"/>
      <c r="O884" s="6"/>
      <c r="P884" s="6"/>
      <c r="Q884" s="6"/>
    </row>
    <row r="885" spans="5:17" ht="16">
      <c r="E885" s="6"/>
      <c r="F885" s="6"/>
      <c r="G885" s="6"/>
      <c r="H885" s="6"/>
      <c r="I885" s="6"/>
      <c r="J885" s="6"/>
      <c r="K885" s="6"/>
      <c r="L885" s="6"/>
      <c r="M885" s="6"/>
      <c r="N885" s="6"/>
      <c r="O885" s="6"/>
      <c r="P885" s="6"/>
      <c r="Q885" s="6"/>
    </row>
    <row r="886" spans="5:17" ht="16">
      <c r="E886" s="6"/>
      <c r="F886" s="6"/>
      <c r="G886" s="6"/>
      <c r="H886" s="6"/>
      <c r="I886" s="6"/>
      <c r="J886" s="6"/>
      <c r="K886" s="6"/>
      <c r="L886" s="6"/>
      <c r="M886" s="6"/>
      <c r="N886" s="6"/>
      <c r="O886" s="6"/>
      <c r="P886" s="6"/>
      <c r="Q886" s="6"/>
    </row>
    <row r="887" spans="5:17" ht="16">
      <c r="E887" s="6"/>
      <c r="F887" s="6"/>
      <c r="G887" s="6"/>
      <c r="H887" s="6"/>
      <c r="I887" s="6"/>
      <c r="J887" s="6"/>
      <c r="K887" s="6"/>
      <c r="L887" s="6"/>
      <c r="M887" s="6"/>
      <c r="N887" s="6"/>
      <c r="O887" s="6"/>
      <c r="P887" s="6"/>
      <c r="Q887" s="6"/>
    </row>
    <row r="888" spans="5:17" ht="16">
      <c r="E888" s="6"/>
      <c r="F888" s="6"/>
      <c r="G888" s="6"/>
      <c r="H888" s="6"/>
      <c r="I888" s="6"/>
      <c r="J888" s="6"/>
      <c r="K888" s="6"/>
      <c r="L888" s="6"/>
      <c r="M888" s="6"/>
      <c r="N888" s="6"/>
      <c r="O888" s="6"/>
      <c r="P888" s="6"/>
      <c r="Q888" s="6"/>
    </row>
    <row r="889" spans="5:17" ht="16">
      <c r="E889" s="6"/>
      <c r="F889" s="6"/>
      <c r="G889" s="6"/>
      <c r="H889" s="6"/>
      <c r="I889" s="6"/>
      <c r="J889" s="6"/>
      <c r="K889" s="6"/>
      <c r="L889" s="6"/>
      <c r="M889" s="6"/>
      <c r="N889" s="6"/>
      <c r="O889" s="6"/>
      <c r="P889" s="6"/>
      <c r="Q889" s="6"/>
    </row>
    <row r="890" spans="5:17" ht="16">
      <c r="E890" s="6"/>
      <c r="F890" s="6"/>
      <c r="G890" s="6"/>
      <c r="H890" s="6"/>
      <c r="I890" s="6"/>
      <c r="J890" s="6"/>
      <c r="K890" s="6"/>
      <c r="L890" s="6"/>
      <c r="M890" s="6"/>
      <c r="N890" s="6"/>
      <c r="O890" s="6"/>
      <c r="P890" s="6"/>
      <c r="Q890" s="6"/>
    </row>
    <row r="891" spans="5:17" ht="16">
      <c r="E891" s="6"/>
      <c r="F891" s="6"/>
      <c r="G891" s="6"/>
      <c r="H891" s="6"/>
      <c r="I891" s="6"/>
      <c r="J891" s="6"/>
      <c r="K891" s="6"/>
      <c r="L891" s="6"/>
      <c r="M891" s="6"/>
      <c r="N891" s="6"/>
      <c r="O891" s="6"/>
      <c r="P891" s="6"/>
      <c r="Q891" s="6"/>
    </row>
    <row r="892" spans="5:17" ht="16">
      <c r="E892" s="6"/>
      <c r="F892" s="6"/>
      <c r="G892" s="6"/>
      <c r="H892" s="6"/>
      <c r="I892" s="6"/>
      <c r="J892" s="6"/>
      <c r="K892" s="6"/>
      <c r="L892" s="6"/>
      <c r="M892" s="6"/>
      <c r="N892" s="6"/>
      <c r="O892" s="6"/>
      <c r="P892" s="6"/>
      <c r="Q892" s="6"/>
    </row>
    <row r="893" spans="5:17" ht="16">
      <c r="E893" s="6"/>
      <c r="F893" s="6"/>
      <c r="G893" s="6"/>
      <c r="H893" s="6"/>
      <c r="I893" s="6"/>
      <c r="J893" s="6"/>
      <c r="K893" s="6"/>
      <c r="L893" s="6"/>
      <c r="M893" s="6"/>
      <c r="N893" s="6"/>
      <c r="O893" s="6"/>
      <c r="P893" s="6"/>
      <c r="Q893" s="6"/>
    </row>
    <row r="894" spans="5:17" ht="16">
      <c r="E894" s="6"/>
      <c r="F894" s="6"/>
      <c r="G894" s="6"/>
      <c r="H894" s="6"/>
      <c r="I894" s="6"/>
      <c r="J894" s="6"/>
      <c r="K894" s="6"/>
      <c r="L894" s="6"/>
      <c r="M894" s="6"/>
      <c r="N894" s="6"/>
      <c r="O894" s="6"/>
      <c r="P894" s="6"/>
      <c r="Q894" s="6"/>
    </row>
    <row r="895" spans="5:17" ht="16">
      <c r="E895" s="6"/>
      <c r="F895" s="6"/>
      <c r="G895" s="6"/>
      <c r="H895" s="6"/>
      <c r="I895" s="6"/>
      <c r="J895" s="6"/>
      <c r="K895" s="6"/>
      <c r="L895" s="6"/>
      <c r="M895" s="6"/>
      <c r="N895" s="6"/>
      <c r="O895" s="6"/>
      <c r="P895" s="6"/>
      <c r="Q895" s="6"/>
    </row>
    <row r="896" spans="5:17" ht="16">
      <c r="E896" s="6"/>
      <c r="F896" s="6"/>
      <c r="G896" s="6"/>
      <c r="H896" s="6"/>
      <c r="I896" s="6"/>
      <c r="J896" s="6"/>
      <c r="K896" s="6"/>
      <c r="L896" s="6"/>
      <c r="M896" s="6"/>
      <c r="N896" s="6"/>
      <c r="O896" s="6"/>
      <c r="P896" s="6"/>
      <c r="Q896" s="6"/>
    </row>
    <row r="897" spans="5:17" ht="16">
      <c r="E897" s="6"/>
      <c r="F897" s="6"/>
      <c r="G897" s="6"/>
      <c r="H897" s="6"/>
      <c r="I897" s="6"/>
      <c r="J897" s="6"/>
      <c r="K897" s="6"/>
      <c r="L897" s="6"/>
      <c r="M897" s="6"/>
      <c r="N897" s="6"/>
      <c r="O897" s="6"/>
      <c r="P897" s="6"/>
      <c r="Q897" s="6"/>
    </row>
    <row r="898" spans="5:17" ht="16">
      <c r="E898" s="6"/>
      <c r="F898" s="6"/>
      <c r="G898" s="6"/>
      <c r="H898" s="6"/>
      <c r="I898" s="6"/>
      <c r="J898" s="6"/>
      <c r="K898" s="6"/>
      <c r="L898" s="6"/>
      <c r="M898" s="6"/>
      <c r="N898" s="6"/>
      <c r="O898" s="6"/>
      <c r="P898" s="6"/>
      <c r="Q898" s="6"/>
    </row>
    <row r="899" spans="5:17" ht="16">
      <c r="E899" s="6"/>
      <c r="F899" s="6"/>
      <c r="G899" s="6"/>
      <c r="H899" s="6"/>
      <c r="I899" s="6"/>
      <c r="J899" s="6"/>
      <c r="K899" s="6"/>
      <c r="L899" s="6"/>
      <c r="M899" s="6"/>
      <c r="N899" s="6"/>
      <c r="O899" s="6"/>
      <c r="P899" s="6"/>
      <c r="Q899" s="6"/>
    </row>
    <row r="900" spans="5:17" ht="16">
      <c r="E900" s="6"/>
      <c r="F900" s="6"/>
      <c r="G900" s="6"/>
      <c r="H900" s="6"/>
      <c r="I900" s="6"/>
      <c r="J900" s="6"/>
      <c r="K900" s="6"/>
      <c r="L900" s="6"/>
      <c r="M900" s="6"/>
      <c r="N900" s="6"/>
      <c r="O900" s="6"/>
      <c r="P900" s="6"/>
      <c r="Q900" s="6"/>
    </row>
    <row r="901" spans="5:17" ht="16">
      <c r="E901" s="6"/>
      <c r="F901" s="6"/>
      <c r="G901" s="6"/>
      <c r="H901" s="6"/>
      <c r="I901" s="6"/>
      <c r="J901" s="6"/>
      <c r="K901" s="6"/>
      <c r="L901" s="6"/>
      <c r="M901" s="6"/>
      <c r="N901" s="6"/>
      <c r="O901" s="6"/>
      <c r="P901" s="6"/>
      <c r="Q901" s="6"/>
    </row>
    <row r="902" spans="5:17" ht="16">
      <c r="E902" s="6"/>
      <c r="F902" s="6"/>
      <c r="G902" s="6"/>
      <c r="H902" s="6"/>
      <c r="I902" s="6"/>
      <c r="J902" s="6"/>
      <c r="K902" s="6"/>
      <c r="L902" s="6"/>
      <c r="M902" s="6"/>
      <c r="N902" s="6"/>
      <c r="O902" s="6"/>
      <c r="P902" s="6"/>
      <c r="Q902" s="6"/>
    </row>
    <row r="903" spans="5:17" ht="16">
      <c r="E903" s="6"/>
      <c r="F903" s="6"/>
      <c r="G903" s="6"/>
      <c r="H903" s="6"/>
      <c r="I903" s="6"/>
      <c r="J903" s="6"/>
      <c r="K903" s="6"/>
      <c r="L903" s="6"/>
      <c r="M903" s="6"/>
      <c r="N903" s="6"/>
      <c r="O903" s="6"/>
      <c r="P903" s="6"/>
      <c r="Q903" s="6"/>
    </row>
    <row r="904" spans="5:17" ht="16">
      <c r="E904" s="6"/>
      <c r="F904" s="6"/>
      <c r="G904" s="6"/>
      <c r="H904" s="6"/>
      <c r="I904" s="6"/>
      <c r="J904" s="6"/>
      <c r="K904" s="6"/>
      <c r="L904" s="6"/>
      <c r="M904" s="6"/>
      <c r="N904" s="6"/>
      <c r="O904" s="6"/>
      <c r="P904" s="6"/>
      <c r="Q904" s="6"/>
    </row>
    <row r="905" spans="5:17" ht="16">
      <c r="E905" s="6"/>
      <c r="F905" s="6"/>
      <c r="G905" s="6"/>
      <c r="H905" s="6"/>
      <c r="I905" s="6"/>
      <c r="J905" s="6"/>
      <c r="K905" s="6"/>
      <c r="L905" s="6"/>
      <c r="M905" s="6"/>
      <c r="N905" s="6"/>
      <c r="O905" s="6"/>
      <c r="P905" s="6"/>
      <c r="Q905" s="6"/>
    </row>
    <row r="906" spans="5:17" ht="16">
      <c r="E906" s="6"/>
      <c r="F906" s="6"/>
      <c r="G906" s="6"/>
      <c r="H906" s="6"/>
      <c r="I906" s="6"/>
      <c r="J906" s="6"/>
      <c r="K906" s="6"/>
      <c r="L906" s="6"/>
      <c r="M906" s="6"/>
      <c r="N906" s="6"/>
      <c r="O906" s="6"/>
      <c r="P906" s="6"/>
      <c r="Q906" s="6"/>
    </row>
    <row r="907" spans="5:17" ht="16">
      <c r="E907" s="6"/>
      <c r="F907" s="6"/>
      <c r="G907" s="6"/>
      <c r="H907" s="6"/>
      <c r="I907" s="6"/>
      <c r="J907" s="6"/>
      <c r="K907" s="6"/>
      <c r="L907" s="6"/>
      <c r="M907" s="6"/>
      <c r="N907" s="6"/>
      <c r="O907" s="6"/>
      <c r="P907" s="6"/>
      <c r="Q907" s="6"/>
    </row>
    <row r="908" spans="5:17" ht="16">
      <c r="E908" s="6"/>
      <c r="F908" s="6"/>
      <c r="G908" s="6"/>
      <c r="H908" s="6"/>
      <c r="I908" s="6"/>
      <c r="J908" s="6"/>
      <c r="K908" s="6"/>
      <c r="L908" s="6"/>
      <c r="M908" s="6"/>
      <c r="N908" s="6"/>
      <c r="O908" s="6"/>
      <c r="P908" s="6"/>
      <c r="Q908" s="6"/>
    </row>
    <row r="909" spans="5:17" ht="16">
      <c r="E909" s="6"/>
      <c r="F909" s="6"/>
      <c r="G909" s="6"/>
      <c r="H909" s="6"/>
      <c r="I909" s="6"/>
      <c r="J909" s="6"/>
      <c r="K909" s="6"/>
      <c r="L909" s="6"/>
      <c r="M909" s="6"/>
      <c r="N909" s="6"/>
      <c r="O909" s="6"/>
      <c r="P909" s="6"/>
      <c r="Q909" s="6"/>
    </row>
    <row r="910" spans="5:17" ht="16">
      <c r="E910" s="6"/>
      <c r="F910" s="6"/>
      <c r="G910" s="6"/>
      <c r="H910" s="6"/>
      <c r="I910" s="6"/>
      <c r="J910" s="6"/>
      <c r="K910" s="6"/>
      <c r="L910" s="6"/>
      <c r="M910" s="6"/>
      <c r="N910" s="6"/>
      <c r="O910" s="6"/>
      <c r="P910" s="6"/>
      <c r="Q910" s="6"/>
    </row>
    <row r="911" spans="5:17" ht="16">
      <c r="E911" s="6"/>
      <c r="F911" s="6"/>
      <c r="G911" s="6"/>
      <c r="H911" s="6"/>
      <c r="I911" s="6"/>
      <c r="J911" s="6"/>
      <c r="K911" s="6"/>
      <c r="L911" s="6"/>
      <c r="M911" s="6"/>
      <c r="N911" s="6"/>
      <c r="O911" s="6"/>
      <c r="P911" s="6"/>
      <c r="Q911" s="6"/>
    </row>
    <row r="912" spans="5:17" ht="16">
      <c r="E912" s="6"/>
      <c r="F912" s="6"/>
      <c r="G912" s="6"/>
      <c r="H912" s="6"/>
      <c r="I912" s="6"/>
      <c r="J912" s="6"/>
      <c r="K912" s="6"/>
      <c r="L912" s="6"/>
      <c r="M912" s="6"/>
      <c r="N912" s="6"/>
      <c r="O912" s="6"/>
      <c r="P912" s="6"/>
      <c r="Q912" s="6"/>
    </row>
    <row r="913" spans="5:17" ht="16">
      <c r="E913" s="6"/>
      <c r="F913" s="6"/>
      <c r="G913" s="6"/>
      <c r="H913" s="6"/>
      <c r="I913" s="6"/>
      <c r="J913" s="6"/>
      <c r="K913" s="6"/>
      <c r="L913" s="6"/>
      <c r="M913" s="6"/>
      <c r="N913" s="6"/>
      <c r="O913" s="6"/>
      <c r="P913" s="6"/>
      <c r="Q913" s="6"/>
    </row>
    <row r="914" spans="5:17" ht="16">
      <c r="E914" s="6"/>
      <c r="F914" s="6"/>
      <c r="G914" s="6"/>
      <c r="H914" s="6"/>
      <c r="I914" s="6"/>
      <c r="J914" s="6"/>
      <c r="K914" s="6"/>
      <c r="L914" s="6"/>
      <c r="M914" s="6"/>
      <c r="N914" s="6"/>
      <c r="O914" s="6"/>
      <c r="P914" s="6"/>
      <c r="Q914" s="6"/>
    </row>
    <row r="915" spans="5:17" ht="16">
      <c r="E915" s="6"/>
      <c r="F915" s="6"/>
      <c r="G915" s="6"/>
      <c r="H915" s="6"/>
      <c r="I915" s="6"/>
      <c r="J915" s="6"/>
      <c r="K915" s="6"/>
      <c r="L915" s="6"/>
      <c r="M915" s="6"/>
      <c r="N915" s="6"/>
      <c r="O915" s="6"/>
      <c r="P915" s="6"/>
      <c r="Q915" s="6"/>
    </row>
    <row r="916" spans="5:17" ht="16">
      <c r="E916" s="6"/>
      <c r="F916" s="6"/>
      <c r="G916" s="6"/>
      <c r="H916" s="6"/>
      <c r="I916" s="6"/>
      <c r="J916" s="6"/>
      <c r="K916" s="6"/>
      <c r="L916" s="6"/>
      <c r="M916" s="6"/>
      <c r="N916" s="6"/>
      <c r="O916" s="6"/>
      <c r="P916" s="6"/>
      <c r="Q916" s="6"/>
    </row>
    <row r="917" spans="5:17" ht="16">
      <c r="E917" s="6"/>
      <c r="F917" s="6"/>
      <c r="G917" s="6"/>
      <c r="H917" s="6"/>
      <c r="I917" s="6"/>
      <c r="J917" s="6"/>
      <c r="K917" s="6"/>
      <c r="L917" s="6"/>
      <c r="M917" s="6"/>
      <c r="N917" s="6"/>
      <c r="O917" s="6"/>
      <c r="P917" s="6"/>
      <c r="Q917" s="6"/>
    </row>
    <row r="918" spans="5:17" ht="16">
      <c r="E918" s="6"/>
      <c r="F918" s="6"/>
      <c r="G918" s="6"/>
      <c r="H918" s="6"/>
      <c r="I918" s="6"/>
      <c r="J918" s="6"/>
      <c r="K918" s="6"/>
      <c r="L918" s="6"/>
      <c r="M918" s="6"/>
      <c r="N918" s="6"/>
      <c r="O918" s="6"/>
      <c r="P918" s="6"/>
      <c r="Q918" s="6"/>
    </row>
    <row r="919" spans="5:17" ht="16">
      <c r="E919" s="6"/>
      <c r="F919" s="6"/>
      <c r="G919" s="6"/>
      <c r="H919" s="6"/>
      <c r="I919" s="6"/>
      <c r="J919" s="6"/>
      <c r="K919" s="6"/>
      <c r="L919" s="6"/>
      <c r="M919" s="6"/>
      <c r="N919" s="6"/>
      <c r="O919" s="6"/>
      <c r="P919" s="6"/>
      <c r="Q919" s="6"/>
    </row>
    <row r="920" spans="5:17" ht="16">
      <c r="E920" s="6"/>
      <c r="F920" s="6"/>
      <c r="G920" s="6"/>
      <c r="H920" s="6"/>
      <c r="I920" s="6"/>
      <c r="J920" s="6"/>
      <c r="K920" s="6"/>
      <c r="L920" s="6"/>
      <c r="M920" s="6"/>
      <c r="N920" s="6"/>
      <c r="O920" s="6"/>
      <c r="P920" s="6"/>
      <c r="Q920" s="6"/>
    </row>
    <row r="921" spans="5:17" ht="16">
      <c r="E921" s="6"/>
      <c r="F921" s="6"/>
      <c r="G921" s="6"/>
      <c r="H921" s="6"/>
      <c r="I921" s="6"/>
      <c r="J921" s="6"/>
      <c r="K921" s="6"/>
      <c r="L921" s="6"/>
      <c r="M921" s="6"/>
      <c r="N921" s="6"/>
      <c r="O921" s="6"/>
      <c r="P921" s="6"/>
      <c r="Q921" s="6"/>
    </row>
    <row r="922" spans="5:17" ht="16">
      <c r="E922" s="6"/>
      <c r="F922" s="6"/>
      <c r="G922" s="6"/>
      <c r="H922" s="6"/>
      <c r="I922" s="6"/>
      <c r="J922" s="6"/>
      <c r="K922" s="6"/>
      <c r="L922" s="6"/>
      <c r="M922" s="6"/>
      <c r="N922" s="6"/>
      <c r="O922" s="6"/>
      <c r="P922" s="6"/>
      <c r="Q922" s="6"/>
    </row>
    <row r="923" spans="5:17" ht="16">
      <c r="E923" s="6"/>
      <c r="F923" s="6"/>
      <c r="G923" s="6"/>
      <c r="H923" s="6"/>
      <c r="I923" s="6"/>
      <c r="J923" s="6"/>
      <c r="K923" s="6"/>
      <c r="L923" s="6"/>
      <c r="M923" s="6"/>
      <c r="N923" s="6"/>
      <c r="O923" s="6"/>
      <c r="P923" s="6"/>
      <c r="Q923" s="6"/>
    </row>
    <row r="924" spans="5:17" ht="16">
      <c r="E924" s="6"/>
      <c r="F924" s="6"/>
      <c r="G924" s="6"/>
      <c r="H924" s="6"/>
      <c r="I924" s="6"/>
      <c r="J924" s="6"/>
      <c r="K924" s="6"/>
      <c r="L924" s="6"/>
      <c r="M924" s="6"/>
      <c r="N924" s="6"/>
      <c r="O924" s="6"/>
      <c r="P924" s="6"/>
      <c r="Q924" s="6"/>
    </row>
    <row r="925" spans="5:17" ht="16">
      <c r="E925" s="6"/>
      <c r="F925" s="6"/>
      <c r="G925" s="6"/>
      <c r="H925" s="6"/>
      <c r="I925" s="6"/>
      <c r="J925" s="6"/>
      <c r="K925" s="6"/>
      <c r="L925" s="6"/>
      <c r="M925" s="6"/>
      <c r="N925" s="6"/>
      <c r="O925" s="6"/>
      <c r="P925" s="6"/>
      <c r="Q925" s="6"/>
    </row>
    <row r="926" spans="5:17" ht="16">
      <c r="E926" s="6"/>
      <c r="F926" s="6"/>
      <c r="G926" s="6"/>
      <c r="H926" s="6"/>
      <c r="I926" s="6"/>
      <c r="J926" s="6"/>
      <c r="K926" s="6"/>
      <c r="L926" s="6"/>
      <c r="M926" s="6"/>
      <c r="N926" s="6"/>
      <c r="O926" s="6"/>
      <c r="P926" s="6"/>
      <c r="Q926" s="6"/>
    </row>
    <row r="927" spans="5:17" ht="16">
      <c r="E927" s="6"/>
      <c r="F927" s="6"/>
      <c r="G927" s="6"/>
      <c r="H927" s="6"/>
      <c r="I927" s="6"/>
      <c r="J927" s="6"/>
      <c r="K927" s="6"/>
      <c r="L927" s="6"/>
      <c r="M927" s="6"/>
      <c r="N927" s="6"/>
      <c r="O927" s="6"/>
      <c r="P927" s="6"/>
      <c r="Q927" s="6"/>
    </row>
    <row r="928" spans="5:17" ht="16">
      <c r="E928" s="6"/>
      <c r="F928" s="6"/>
      <c r="G928" s="6"/>
      <c r="H928" s="6"/>
      <c r="I928" s="6"/>
      <c r="J928" s="6"/>
      <c r="K928" s="6"/>
      <c r="L928" s="6"/>
      <c r="M928" s="6"/>
      <c r="N928" s="6"/>
      <c r="O928" s="6"/>
      <c r="P928" s="6"/>
      <c r="Q928" s="6"/>
    </row>
    <row r="929" spans="5:17" ht="16">
      <c r="E929" s="6"/>
      <c r="F929" s="6"/>
      <c r="G929" s="6"/>
      <c r="H929" s="6"/>
      <c r="I929" s="6"/>
      <c r="J929" s="6"/>
      <c r="K929" s="6"/>
      <c r="L929" s="6"/>
      <c r="M929" s="6"/>
      <c r="N929" s="6"/>
      <c r="O929" s="6"/>
      <c r="P929" s="6"/>
      <c r="Q929" s="6"/>
    </row>
    <row r="930" spans="5:17" ht="16">
      <c r="E930" s="6"/>
      <c r="F930" s="6"/>
      <c r="G930" s="6"/>
      <c r="H930" s="6"/>
      <c r="I930" s="6"/>
      <c r="J930" s="6"/>
      <c r="K930" s="6"/>
      <c r="L930" s="6"/>
      <c r="M930" s="6"/>
      <c r="N930" s="6"/>
      <c r="O930" s="6"/>
      <c r="P930" s="6"/>
      <c r="Q930" s="6"/>
    </row>
    <row r="931" spans="5:17" ht="16">
      <c r="E931" s="6"/>
      <c r="F931" s="6"/>
      <c r="G931" s="6"/>
      <c r="H931" s="6"/>
      <c r="I931" s="6"/>
      <c r="J931" s="6"/>
      <c r="K931" s="6"/>
      <c r="L931" s="6"/>
      <c r="M931" s="6"/>
      <c r="N931" s="6"/>
      <c r="O931" s="6"/>
      <c r="P931" s="6"/>
      <c r="Q931" s="6"/>
    </row>
    <row r="932" spans="5:17" ht="16">
      <c r="E932" s="6"/>
      <c r="F932" s="6"/>
      <c r="G932" s="6"/>
      <c r="H932" s="6"/>
      <c r="I932" s="6"/>
      <c r="J932" s="6"/>
      <c r="K932" s="6"/>
      <c r="L932" s="6"/>
      <c r="M932" s="6"/>
      <c r="N932" s="6"/>
      <c r="O932" s="6"/>
      <c r="P932" s="6"/>
      <c r="Q932" s="6"/>
    </row>
    <row r="933" spans="5:17" ht="16">
      <c r="E933" s="6"/>
      <c r="F933" s="6"/>
      <c r="G933" s="6"/>
      <c r="H933" s="6"/>
      <c r="I933" s="6"/>
      <c r="J933" s="6"/>
      <c r="K933" s="6"/>
      <c r="L933" s="6"/>
      <c r="M933" s="6"/>
      <c r="N933" s="6"/>
      <c r="O933" s="6"/>
      <c r="P933" s="6"/>
      <c r="Q933" s="6"/>
    </row>
    <row r="934" spans="5:17" ht="16">
      <c r="E934" s="6"/>
      <c r="F934" s="6"/>
      <c r="G934" s="6"/>
      <c r="H934" s="6"/>
      <c r="I934" s="6"/>
      <c r="J934" s="6"/>
      <c r="K934" s="6"/>
      <c r="L934" s="6"/>
      <c r="M934" s="6"/>
      <c r="N934" s="6"/>
      <c r="O934" s="6"/>
      <c r="P934" s="6"/>
      <c r="Q934" s="6"/>
    </row>
    <row r="935" spans="5:17" ht="16">
      <c r="E935" s="6"/>
      <c r="F935" s="6"/>
      <c r="G935" s="6"/>
      <c r="H935" s="6"/>
      <c r="I935" s="6"/>
      <c r="J935" s="6"/>
      <c r="K935" s="6"/>
      <c r="L935" s="6"/>
      <c r="M935" s="6"/>
      <c r="N935" s="6"/>
      <c r="O935" s="6"/>
      <c r="P935" s="6"/>
      <c r="Q935" s="6"/>
    </row>
    <row r="936" spans="5:17" ht="16">
      <c r="E936" s="6"/>
      <c r="F936" s="6"/>
      <c r="G936" s="6"/>
      <c r="H936" s="6"/>
      <c r="I936" s="6"/>
      <c r="J936" s="6"/>
      <c r="K936" s="6"/>
      <c r="L936" s="6"/>
      <c r="M936" s="6"/>
      <c r="N936" s="6"/>
      <c r="O936" s="6"/>
      <c r="P936" s="6"/>
      <c r="Q936" s="6"/>
    </row>
    <row r="937" spans="5:17" ht="16">
      <c r="E937" s="6"/>
      <c r="F937" s="6"/>
      <c r="G937" s="6"/>
      <c r="H937" s="6"/>
      <c r="I937" s="6"/>
      <c r="J937" s="6"/>
      <c r="K937" s="6"/>
      <c r="L937" s="6"/>
      <c r="M937" s="6"/>
      <c r="N937" s="6"/>
      <c r="O937" s="6"/>
      <c r="P937" s="6"/>
      <c r="Q937" s="6"/>
    </row>
    <row r="938" spans="5:17" ht="16">
      <c r="E938" s="6"/>
      <c r="F938" s="6"/>
      <c r="G938" s="6"/>
      <c r="H938" s="6"/>
      <c r="I938" s="6"/>
      <c r="J938" s="6"/>
      <c r="K938" s="6"/>
      <c r="L938" s="6"/>
      <c r="M938" s="6"/>
      <c r="N938" s="6"/>
      <c r="O938" s="6"/>
      <c r="P938" s="6"/>
      <c r="Q938" s="6"/>
    </row>
    <row r="939" spans="5:17" ht="16">
      <c r="E939" s="6"/>
      <c r="F939" s="6"/>
      <c r="G939" s="6"/>
      <c r="H939" s="6"/>
      <c r="I939" s="6"/>
      <c r="J939" s="6"/>
      <c r="K939" s="6"/>
      <c r="L939" s="6"/>
      <c r="M939" s="6"/>
      <c r="N939" s="6"/>
      <c r="O939" s="6"/>
      <c r="P939" s="6"/>
      <c r="Q939" s="6"/>
    </row>
    <row r="940" spans="5:17" ht="16">
      <c r="E940" s="6"/>
      <c r="F940" s="6"/>
      <c r="G940" s="6"/>
      <c r="H940" s="6"/>
      <c r="I940" s="6"/>
      <c r="J940" s="6"/>
      <c r="K940" s="6"/>
      <c r="L940" s="6"/>
      <c r="M940" s="6"/>
      <c r="N940" s="6"/>
      <c r="O940" s="6"/>
      <c r="P940" s="6"/>
      <c r="Q940" s="6"/>
    </row>
    <row r="941" spans="5:17" ht="16">
      <c r="E941" s="6"/>
      <c r="F941" s="6"/>
      <c r="G941" s="6"/>
      <c r="H941" s="6"/>
      <c r="I941" s="6"/>
      <c r="J941" s="6"/>
      <c r="K941" s="6"/>
      <c r="L941" s="6"/>
      <c r="M941" s="6"/>
      <c r="N941" s="6"/>
      <c r="O941" s="6"/>
      <c r="P941" s="6"/>
      <c r="Q941" s="6"/>
    </row>
    <row r="942" spans="5:17" ht="16">
      <c r="E942" s="6"/>
      <c r="F942" s="6"/>
      <c r="G942" s="6"/>
      <c r="H942" s="6"/>
      <c r="I942" s="6"/>
      <c r="J942" s="6"/>
      <c r="K942" s="6"/>
      <c r="L942" s="6"/>
      <c r="M942" s="6"/>
      <c r="N942" s="6"/>
      <c r="O942" s="6"/>
      <c r="P942" s="6"/>
      <c r="Q942" s="6"/>
    </row>
    <row r="943" spans="5:17" ht="16">
      <c r="E943" s="6"/>
      <c r="F943" s="6"/>
      <c r="G943" s="6"/>
      <c r="H943" s="6"/>
      <c r="I943" s="6"/>
      <c r="J943" s="6"/>
      <c r="K943" s="6"/>
      <c r="L943" s="6"/>
      <c r="M943" s="6"/>
      <c r="N943" s="6"/>
      <c r="O943" s="6"/>
      <c r="P943" s="6"/>
      <c r="Q943" s="6"/>
    </row>
    <row r="944" spans="5:17" ht="16">
      <c r="E944" s="6"/>
      <c r="F944" s="6"/>
      <c r="G944" s="6"/>
      <c r="H944" s="6"/>
      <c r="I944" s="6"/>
      <c r="J944" s="6"/>
      <c r="K944" s="6"/>
      <c r="L944" s="6"/>
      <c r="M944" s="6"/>
      <c r="N944" s="6"/>
      <c r="O944" s="6"/>
      <c r="P944" s="6"/>
      <c r="Q944" s="6"/>
    </row>
    <row r="945" spans="5:17" ht="16">
      <c r="E945" s="6"/>
      <c r="F945" s="6"/>
      <c r="G945" s="6"/>
      <c r="H945" s="6"/>
      <c r="I945" s="6"/>
      <c r="J945" s="6"/>
      <c r="K945" s="6"/>
      <c r="L945" s="6"/>
      <c r="M945" s="6"/>
      <c r="N945" s="6"/>
      <c r="O945" s="6"/>
      <c r="P945" s="6"/>
      <c r="Q945" s="6"/>
    </row>
    <row r="946" spans="5:17" ht="16">
      <c r="E946" s="6"/>
      <c r="F946" s="6"/>
      <c r="G946" s="6"/>
      <c r="H946" s="6"/>
      <c r="I946" s="6"/>
      <c r="J946" s="6"/>
      <c r="K946" s="6"/>
      <c r="L946" s="6"/>
      <c r="M946" s="6"/>
      <c r="N946" s="6"/>
      <c r="O946" s="6"/>
      <c r="P946" s="6"/>
      <c r="Q946" s="6"/>
    </row>
    <row r="947" spans="5:17" ht="16">
      <c r="E947" s="6"/>
      <c r="F947" s="6"/>
      <c r="G947" s="6"/>
      <c r="H947" s="6"/>
      <c r="I947" s="6"/>
      <c r="J947" s="6"/>
      <c r="K947" s="6"/>
      <c r="L947" s="6"/>
      <c r="M947" s="6"/>
      <c r="N947" s="6"/>
      <c r="O947" s="6"/>
      <c r="P947" s="6"/>
      <c r="Q947" s="6"/>
    </row>
    <row r="948" spans="5:17" ht="16">
      <c r="E948" s="6"/>
      <c r="F948" s="6"/>
      <c r="G948" s="6"/>
      <c r="H948" s="6"/>
      <c r="I948" s="6"/>
      <c r="J948" s="6"/>
      <c r="K948" s="6"/>
      <c r="L948" s="6"/>
      <c r="M948" s="6"/>
      <c r="N948" s="6"/>
      <c r="O948" s="6"/>
      <c r="P948" s="6"/>
      <c r="Q948" s="6"/>
    </row>
    <row r="949" spans="5:17" ht="16">
      <c r="E949" s="6"/>
      <c r="F949" s="6"/>
      <c r="G949" s="6"/>
      <c r="H949" s="6"/>
      <c r="I949" s="6"/>
      <c r="J949" s="6"/>
      <c r="K949" s="6"/>
      <c r="L949" s="6"/>
      <c r="M949" s="6"/>
      <c r="N949" s="6"/>
      <c r="O949" s="6"/>
      <c r="P949" s="6"/>
      <c r="Q949" s="6"/>
    </row>
    <row r="950" spans="5:17" ht="16">
      <c r="E950" s="6"/>
      <c r="F950" s="6"/>
      <c r="G950" s="6"/>
      <c r="H950" s="6"/>
      <c r="I950" s="6"/>
      <c r="J950" s="6"/>
      <c r="K950" s="6"/>
      <c r="L950" s="6"/>
      <c r="M950" s="6"/>
      <c r="N950" s="6"/>
      <c r="O950" s="6"/>
      <c r="P950" s="6"/>
      <c r="Q950" s="6"/>
    </row>
    <row r="951" spans="5:17" ht="16">
      <c r="E951" s="6"/>
      <c r="F951" s="6"/>
      <c r="G951" s="6"/>
      <c r="H951" s="6"/>
      <c r="I951" s="6"/>
      <c r="J951" s="6"/>
      <c r="K951" s="6"/>
      <c r="L951" s="6"/>
      <c r="M951" s="6"/>
      <c r="N951" s="6"/>
      <c r="O951" s="6"/>
      <c r="P951" s="6"/>
      <c r="Q951" s="6"/>
    </row>
    <row r="952" spans="5:17" ht="16">
      <c r="E952" s="6"/>
      <c r="F952" s="6"/>
      <c r="G952" s="6"/>
      <c r="H952" s="6"/>
      <c r="I952" s="6"/>
      <c r="J952" s="6"/>
      <c r="K952" s="6"/>
      <c r="L952" s="6"/>
      <c r="M952" s="6"/>
      <c r="N952" s="6"/>
      <c r="O952" s="6"/>
      <c r="P952" s="6"/>
      <c r="Q952" s="6"/>
    </row>
    <row r="953" spans="5:17" ht="16">
      <c r="E953" s="6"/>
      <c r="F953" s="6"/>
      <c r="G953" s="6"/>
      <c r="H953" s="6"/>
      <c r="I953" s="6"/>
      <c r="J953" s="6"/>
      <c r="K953" s="6"/>
      <c r="L953" s="6"/>
      <c r="M953" s="6"/>
      <c r="N953" s="6"/>
      <c r="O953" s="6"/>
      <c r="P953" s="6"/>
      <c r="Q953" s="6"/>
    </row>
    <row r="954" spans="5:17" ht="16">
      <c r="E954" s="6"/>
      <c r="F954" s="6"/>
      <c r="G954" s="6"/>
      <c r="H954" s="6"/>
      <c r="I954" s="6"/>
      <c r="J954" s="6"/>
      <c r="K954" s="6"/>
      <c r="L954" s="6"/>
      <c r="M954" s="6"/>
      <c r="N954" s="6"/>
      <c r="O954" s="6"/>
      <c r="P954" s="6"/>
      <c r="Q954" s="6"/>
    </row>
    <row r="955" spans="5:17" ht="16">
      <c r="E955" s="6"/>
      <c r="F955" s="6"/>
      <c r="G955" s="6"/>
      <c r="H955" s="6"/>
      <c r="I955" s="6"/>
      <c r="J955" s="6"/>
      <c r="K955" s="6"/>
      <c r="L955" s="6"/>
      <c r="M955" s="6"/>
      <c r="N955" s="6"/>
      <c r="O955" s="6"/>
      <c r="P955" s="6"/>
      <c r="Q955" s="6"/>
    </row>
    <row r="956" spans="5:17" ht="16">
      <c r="E956" s="6"/>
      <c r="F956" s="6"/>
      <c r="G956" s="6"/>
      <c r="H956" s="6"/>
      <c r="I956" s="6"/>
      <c r="J956" s="6"/>
      <c r="K956" s="6"/>
      <c r="L956" s="6"/>
      <c r="M956" s="6"/>
      <c r="N956" s="6"/>
      <c r="O956" s="6"/>
      <c r="P956" s="6"/>
      <c r="Q956" s="6"/>
    </row>
    <row r="957" spans="5:17" ht="16">
      <c r="E957" s="6"/>
      <c r="F957" s="6"/>
      <c r="G957" s="6"/>
      <c r="H957" s="6"/>
      <c r="I957" s="6"/>
      <c r="J957" s="6"/>
      <c r="K957" s="6"/>
      <c r="L957" s="6"/>
      <c r="M957" s="6"/>
      <c r="N957" s="6"/>
      <c r="O957" s="6"/>
      <c r="P957" s="6"/>
      <c r="Q957" s="6"/>
    </row>
    <row r="958" spans="5:17" ht="16">
      <c r="E958" s="6"/>
      <c r="F958" s="6"/>
      <c r="G958" s="6"/>
      <c r="H958" s="6"/>
      <c r="I958" s="6"/>
      <c r="J958" s="6"/>
      <c r="K958" s="6"/>
      <c r="L958" s="6"/>
      <c r="M958" s="6"/>
      <c r="N958" s="6"/>
      <c r="O958" s="6"/>
      <c r="P958" s="6"/>
      <c r="Q958" s="6"/>
    </row>
    <row r="959" spans="5:17" ht="16">
      <c r="E959" s="6"/>
      <c r="F959" s="6"/>
      <c r="G959" s="6"/>
      <c r="H959" s="6"/>
      <c r="I959" s="6"/>
      <c r="J959" s="6"/>
      <c r="K959" s="6"/>
      <c r="L959" s="6"/>
      <c r="M959" s="6"/>
      <c r="N959" s="6"/>
      <c r="O959" s="6"/>
      <c r="P959" s="6"/>
      <c r="Q959" s="6"/>
    </row>
    <row r="960" spans="5:17" ht="16">
      <c r="E960" s="6"/>
      <c r="F960" s="6"/>
      <c r="G960" s="6"/>
      <c r="H960" s="6"/>
      <c r="I960" s="6"/>
      <c r="J960" s="6"/>
      <c r="K960" s="6"/>
      <c r="L960" s="6"/>
      <c r="M960" s="6"/>
      <c r="N960" s="6"/>
      <c r="O960" s="6"/>
      <c r="P960" s="6"/>
      <c r="Q960" s="6"/>
    </row>
    <row r="961" spans="5:17" ht="16">
      <c r="E961" s="6"/>
      <c r="F961" s="6"/>
      <c r="G961" s="6"/>
      <c r="H961" s="6"/>
      <c r="I961" s="6"/>
      <c r="J961" s="6"/>
      <c r="K961" s="6"/>
      <c r="L961" s="6"/>
      <c r="M961" s="6"/>
      <c r="N961" s="6"/>
      <c r="O961" s="6"/>
      <c r="P961" s="6"/>
      <c r="Q961" s="6"/>
    </row>
    <row r="962" spans="5:17" ht="16">
      <c r="E962" s="6"/>
      <c r="F962" s="6"/>
      <c r="G962" s="6"/>
      <c r="H962" s="6"/>
      <c r="I962" s="6"/>
      <c r="J962" s="6"/>
      <c r="K962" s="6"/>
      <c r="L962" s="6"/>
      <c r="M962" s="6"/>
      <c r="N962" s="6"/>
      <c r="O962" s="6"/>
      <c r="P962" s="6"/>
      <c r="Q962" s="6"/>
    </row>
    <row r="963" spans="5:17" ht="16">
      <c r="E963" s="6"/>
      <c r="F963" s="6"/>
      <c r="G963" s="6"/>
      <c r="H963" s="6"/>
      <c r="I963" s="6"/>
      <c r="J963" s="6"/>
      <c r="K963" s="6"/>
      <c r="L963" s="6"/>
      <c r="M963" s="6"/>
      <c r="N963" s="6"/>
      <c r="O963" s="6"/>
      <c r="P963" s="6"/>
      <c r="Q963" s="6"/>
    </row>
    <row r="964" spans="5:17" ht="16">
      <c r="E964" s="6"/>
      <c r="F964" s="6"/>
      <c r="G964" s="6"/>
      <c r="H964" s="6"/>
      <c r="I964" s="6"/>
      <c r="J964" s="6"/>
      <c r="K964" s="6"/>
      <c r="L964" s="6"/>
      <c r="M964" s="6"/>
      <c r="N964" s="6"/>
      <c r="O964" s="6"/>
      <c r="P964" s="6"/>
      <c r="Q964" s="6"/>
    </row>
    <row r="965" spans="5:17" ht="16">
      <c r="E965" s="6"/>
      <c r="F965" s="6"/>
      <c r="G965" s="6"/>
      <c r="H965" s="6"/>
      <c r="I965" s="6"/>
      <c r="J965" s="6"/>
      <c r="K965" s="6"/>
      <c r="L965" s="6"/>
      <c r="M965" s="6"/>
      <c r="N965" s="6"/>
      <c r="O965" s="6"/>
      <c r="P965" s="6"/>
      <c r="Q965" s="6"/>
    </row>
    <row r="966" spans="5:17" ht="16">
      <c r="E966" s="6"/>
      <c r="F966" s="6"/>
      <c r="G966" s="6"/>
      <c r="H966" s="6"/>
      <c r="I966" s="6"/>
      <c r="J966" s="6"/>
      <c r="K966" s="6"/>
      <c r="L966" s="6"/>
      <c r="M966" s="6"/>
      <c r="N966" s="6"/>
      <c r="O966" s="6"/>
      <c r="P966" s="6"/>
      <c r="Q966" s="6"/>
    </row>
    <row r="967" spans="5:17" ht="16">
      <c r="E967" s="6"/>
      <c r="F967" s="6"/>
      <c r="G967" s="6"/>
      <c r="H967" s="6"/>
      <c r="I967" s="6"/>
      <c r="J967" s="6"/>
      <c r="K967" s="6"/>
      <c r="L967" s="6"/>
      <c r="M967" s="6"/>
      <c r="N967" s="6"/>
      <c r="O967" s="6"/>
      <c r="P967" s="6"/>
      <c r="Q967" s="6"/>
    </row>
    <row r="968" spans="5:17" ht="16">
      <c r="E968" s="6"/>
      <c r="F968" s="6"/>
      <c r="G968" s="6"/>
      <c r="H968" s="6"/>
      <c r="I968" s="6"/>
      <c r="J968" s="6"/>
      <c r="K968" s="6"/>
      <c r="L968" s="6"/>
      <c r="M968" s="6"/>
      <c r="N968" s="6"/>
      <c r="O968" s="6"/>
      <c r="P968" s="6"/>
      <c r="Q968" s="6"/>
    </row>
    <row r="969" spans="5:17" ht="16">
      <c r="E969" s="6"/>
      <c r="F969" s="6"/>
      <c r="G969" s="6"/>
      <c r="H969" s="6"/>
      <c r="I969" s="6"/>
      <c r="J969" s="6"/>
      <c r="K969" s="6"/>
      <c r="L969" s="6"/>
      <c r="M969" s="6"/>
      <c r="N969" s="6"/>
      <c r="O969" s="6"/>
      <c r="P969" s="6"/>
      <c r="Q969" s="6"/>
    </row>
    <row r="970" spans="5:17" ht="16">
      <c r="E970" s="6"/>
      <c r="F970" s="6"/>
      <c r="G970" s="6"/>
      <c r="H970" s="6"/>
      <c r="I970" s="6"/>
      <c r="J970" s="6"/>
      <c r="K970" s="6"/>
      <c r="L970" s="6"/>
      <c r="M970" s="6"/>
      <c r="N970" s="6"/>
      <c r="O970" s="6"/>
      <c r="P970" s="6"/>
      <c r="Q970" s="6"/>
    </row>
    <row r="971" spans="5:17" ht="16">
      <c r="E971" s="6"/>
      <c r="F971" s="6"/>
      <c r="G971" s="6"/>
      <c r="H971" s="6"/>
      <c r="I971" s="6"/>
      <c r="J971" s="6"/>
      <c r="K971" s="6"/>
      <c r="L971" s="6"/>
      <c r="M971" s="6"/>
      <c r="N971" s="6"/>
      <c r="O971" s="6"/>
      <c r="P971" s="6"/>
      <c r="Q971" s="6"/>
    </row>
    <row r="972" spans="5:17" ht="16">
      <c r="E972" s="6"/>
      <c r="F972" s="6"/>
      <c r="G972" s="6"/>
      <c r="H972" s="6"/>
      <c r="I972" s="6"/>
      <c r="J972" s="6"/>
      <c r="K972" s="6"/>
      <c r="L972" s="6"/>
      <c r="M972" s="6"/>
      <c r="N972" s="6"/>
      <c r="O972" s="6"/>
      <c r="P972" s="6"/>
      <c r="Q972" s="6"/>
    </row>
    <row r="973" spans="5:17" ht="16">
      <c r="E973" s="6"/>
      <c r="F973" s="6"/>
      <c r="G973" s="6"/>
      <c r="H973" s="6"/>
      <c r="I973" s="6"/>
      <c r="J973" s="6"/>
      <c r="K973" s="6"/>
      <c r="L973" s="6"/>
      <c r="M973" s="6"/>
      <c r="N973" s="6"/>
      <c r="O973" s="6"/>
      <c r="P973" s="6"/>
      <c r="Q973" s="6"/>
    </row>
    <row r="974" spans="5:17" ht="16">
      <c r="E974" s="6"/>
      <c r="F974" s="6"/>
      <c r="G974" s="6"/>
      <c r="H974" s="6"/>
      <c r="I974" s="6"/>
      <c r="J974" s="6"/>
      <c r="K974" s="6"/>
      <c r="L974" s="6"/>
      <c r="M974" s="6"/>
      <c r="N974" s="6"/>
      <c r="O974" s="6"/>
      <c r="P974" s="6"/>
      <c r="Q974" s="6"/>
    </row>
    <row r="975" spans="5:17" ht="16">
      <c r="E975" s="6"/>
      <c r="F975" s="6"/>
      <c r="G975" s="6"/>
      <c r="H975" s="6"/>
      <c r="I975" s="6"/>
      <c r="J975" s="6"/>
      <c r="K975" s="6"/>
      <c r="L975" s="6"/>
      <c r="M975" s="6"/>
      <c r="N975" s="6"/>
      <c r="O975" s="6"/>
      <c r="P975" s="6"/>
      <c r="Q975" s="6"/>
    </row>
    <row r="976" spans="5:17" ht="16">
      <c r="E976" s="6"/>
      <c r="F976" s="6"/>
      <c r="G976" s="6"/>
      <c r="H976" s="6"/>
      <c r="I976" s="6"/>
      <c r="J976" s="6"/>
      <c r="K976" s="6"/>
      <c r="L976" s="6"/>
      <c r="M976" s="6"/>
      <c r="N976" s="6"/>
      <c r="O976" s="6"/>
      <c r="P976" s="6"/>
      <c r="Q976" s="6"/>
    </row>
    <row r="977" spans="5:17" ht="16">
      <c r="E977" s="6"/>
      <c r="F977" s="6"/>
      <c r="G977" s="6"/>
      <c r="H977" s="6"/>
      <c r="I977" s="6"/>
      <c r="J977" s="6"/>
      <c r="K977" s="6"/>
      <c r="L977" s="6"/>
      <c r="M977" s="6"/>
      <c r="N977" s="6"/>
      <c r="O977" s="6"/>
      <c r="P977" s="6"/>
      <c r="Q977" s="6"/>
    </row>
    <row r="978" spans="5:17" ht="16">
      <c r="E978" s="6"/>
      <c r="F978" s="6"/>
      <c r="G978" s="6"/>
      <c r="H978" s="6"/>
      <c r="I978" s="6"/>
      <c r="J978" s="6"/>
      <c r="K978" s="6"/>
      <c r="L978" s="6"/>
      <c r="M978" s="6"/>
      <c r="N978" s="6"/>
      <c r="O978" s="6"/>
      <c r="P978" s="6"/>
      <c r="Q978" s="6"/>
    </row>
    <row r="979" spans="5:17" ht="16">
      <c r="E979" s="6"/>
      <c r="F979" s="6"/>
      <c r="G979" s="6"/>
      <c r="H979" s="6"/>
      <c r="I979" s="6"/>
      <c r="J979" s="6"/>
      <c r="K979" s="6"/>
      <c r="L979" s="6"/>
      <c r="M979" s="6"/>
      <c r="N979" s="6"/>
      <c r="O979" s="6"/>
      <c r="P979" s="6"/>
      <c r="Q979" s="6"/>
    </row>
    <row r="980" spans="5:17" ht="16">
      <c r="E980" s="6"/>
      <c r="F980" s="6"/>
      <c r="G980" s="6"/>
      <c r="H980" s="6"/>
      <c r="I980" s="6"/>
      <c r="J980" s="6"/>
      <c r="K980" s="6"/>
      <c r="L980" s="6"/>
      <c r="M980" s="6"/>
      <c r="N980" s="6"/>
      <c r="O980" s="6"/>
      <c r="P980" s="6"/>
      <c r="Q980" s="6"/>
    </row>
    <row r="981" spans="5:17" ht="16">
      <c r="E981" s="6"/>
      <c r="F981" s="6"/>
      <c r="G981" s="6"/>
      <c r="H981" s="6"/>
      <c r="I981" s="6"/>
      <c r="J981" s="6"/>
      <c r="K981" s="6"/>
      <c r="L981" s="6"/>
      <c r="M981" s="6"/>
      <c r="N981" s="6"/>
      <c r="O981" s="6"/>
      <c r="P981" s="6"/>
      <c r="Q981" s="6"/>
    </row>
    <row r="982" spans="5:17" ht="16">
      <c r="E982" s="6"/>
      <c r="F982" s="6"/>
      <c r="G982" s="6"/>
      <c r="H982" s="6"/>
      <c r="I982" s="6"/>
      <c r="J982" s="6"/>
      <c r="K982" s="6"/>
      <c r="L982" s="6"/>
      <c r="M982" s="6"/>
      <c r="N982" s="6"/>
      <c r="O982" s="6"/>
      <c r="P982" s="6"/>
      <c r="Q982" s="6"/>
    </row>
    <row r="983" spans="5:17" ht="16">
      <c r="E983" s="6"/>
      <c r="F983" s="6"/>
      <c r="G983" s="6"/>
      <c r="H983" s="6"/>
      <c r="I983" s="6"/>
      <c r="J983" s="6"/>
      <c r="K983" s="6"/>
      <c r="L983" s="6"/>
      <c r="M983" s="6"/>
      <c r="N983" s="6"/>
      <c r="O983" s="6"/>
      <c r="P983" s="6"/>
      <c r="Q983" s="6"/>
    </row>
    <row r="984" spans="5:17" ht="16">
      <c r="E984" s="6"/>
      <c r="F984" s="6"/>
      <c r="G984" s="6"/>
      <c r="H984" s="6"/>
      <c r="I984" s="6"/>
      <c r="J984" s="6"/>
      <c r="K984" s="6"/>
      <c r="L984" s="6"/>
      <c r="M984" s="6"/>
      <c r="N984" s="6"/>
      <c r="O984" s="6"/>
      <c r="P984" s="6"/>
      <c r="Q984" s="6"/>
    </row>
    <row r="985" spans="5:17" ht="16">
      <c r="E985" s="6"/>
      <c r="F985" s="6"/>
      <c r="G985" s="6"/>
      <c r="H985" s="6"/>
      <c r="I985" s="6"/>
      <c r="J985" s="6"/>
      <c r="K985" s="6"/>
      <c r="L985" s="6"/>
      <c r="M985" s="6"/>
      <c r="N985" s="6"/>
      <c r="O985" s="6"/>
      <c r="P985" s="6"/>
      <c r="Q985" s="6"/>
    </row>
    <row r="986" spans="5:17" ht="16">
      <c r="E986" s="6"/>
      <c r="F986" s="6"/>
      <c r="G986" s="6"/>
      <c r="H986" s="6"/>
      <c r="I986" s="6"/>
      <c r="J986" s="6"/>
      <c r="K986" s="6"/>
      <c r="L986" s="6"/>
      <c r="M986" s="6"/>
      <c r="N986" s="6"/>
      <c r="O986" s="6"/>
      <c r="P986" s="6"/>
      <c r="Q986" s="6"/>
    </row>
    <row r="987" spans="5:17" ht="16">
      <c r="E987" s="6"/>
      <c r="F987" s="6"/>
      <c r="G987" s="6"/>
      <c r="H987" s="6"/>
      <c r="I987" s="6"/>
      <c r="J987" s="6"/>
      <c r="K987" s="6"/>
      <c r="L987" s="6"/>
      <c r="M987" s="6"/>
      <c r="N987" s="6"/>
      <c r="O987" s="6"/>
      <c r="P987" s="6"/>
      <c r="Q987" s="6"/>
    </row>
    <row r="988" spans="5:17" ht="16">
      <c r="E988" s="6"/>
      <c r="F988" s="6"/>
      <c r="G988" s="6"/>
      <c r="H988" s="6"/>
      <c r="I988" s="6"/>
      <c r="J988" s="6"/>
      <c r="K988" s="6"/>
      <c r="L988" s="6"/>
      <c r="M988" s="6"/>
      <c r="N988" s="6"/>
      <c r="O988" s="6"/>
      <c r="P988" s="6"/>
      <c r="Q988" s="6"/>
    </row>
    <row r="989" spans="5:17" ht="16">
      <c r="E989" s="6"/>
      <c r="F989" s="6"/>
      <c r="G989" s="6"/>
      <c r="H989" s="6"/>
      <c r="I989" s="6"/>
      <c r="J989" s="6"/>
      <c r="K989" s="6"/>
      <c r="L989" s="6"/>
      <c r="M989" s="6"/>
      <c r="N989" s="6"/>
      <c r="O989" s="6"/>
      <c r="P989" s="6"/>
      <c r="Q989" s="6"/>
    </row>
    <row r="990" spans="5:17" ht="16">
      <c r="E990" s="6"/>
      <c r="F990" s="6"/>
      <c r="G990" s="6"/>
      <c r="H990" s="6"/>
      <c r="I990" s="6"/>
      <c r="J990" s="6"/>
      <c r="K990" s="6"/>
      <c r="L990" s="6"/>
      <c r="M990" s="6"/>
      <c r="N990" s="6"/>
      <c r="O990" s="6"/>
      <c r="P990" s="6"/>
      <c r="Q990" s="6"/>
    </row>
    <row r="991" spans="5:17" ht="16">
      <c r="E991" s="6"/>
      <c r="F991" s="6"/>
      <c r="G991" s="6"/>
      <c r="H991" s="6"/>
      <c r="I991" s="6"/>
      <c r="J991" s="6"/>
      <c r="K991" s="6"/>
      <c r="L991" s="6"/>
      <c r="M991" s="6"/>
      <c r="N991" s="6"/>
      <c r="O991" s="6"/>
      <c r="P991" s="6"/>
      <c r="Q991" s="6"/>
    </row>
    <row r="992" spans="5:17" ht="16">
      <c r="E992" s="6"/>
      <c r="F992" s="6"/>
      <c r="G992" s="6"/>
      <c r="H992" s="6"/>
      <c r="I992" s="6"/>
      <c r="J992" s="6"/>
      <c r="K992" s="6"/>
      <c r="L992" s="6"/>
      <c r="M992" s="6"/>
      <c r="N992" s="6"/>
      <c r="O992" s="6"/>
      <c r="P992" s="6"/>
      <c r="Q992" s="6"/>
    </row>
    <row r="993" spans="5:17" ht="16">
      <c r="E993" s="6"/>
      <c r="F993" s="6"/>
      <c r="G993" s="6"/>
      <c r="H993" s="6"/>
      <c r="I993" s="6"/>
      <c r="J993" s="6"/>
      <c r="K993" s="6"/>
      <c r="L993" s="6"/>
      <c r="M993" s="6"/>
      <c r="N993" s="6"/>
      <c r="O993" s="6"/>
      <c r="P993" s="6"/>
      <c r="Q993" s="6"/>
    </row>
    <row r="994" spans="5:17" ht="16">
      <c r="E994" s="6"/>
      <c r="F994" s="6"/>
      <c r="G994" s="6"/>
      <c r="H994" s="6"/>
      <c r="I994" s="6"/>
      <c r="J994" s="6"/>
      <c r="K994" s="6"/>
      <c r="L994" s="6"/>
      <c r="M994" s="6"/>
      <c r="N994" s="6"/>
      <c r="O994" s="6"/>
      <c r="P994" s="6"/>
      <c r="Q994" s="6"/>
    </row>
    <row r="995" spans="5:17" ht="16">
      <c r="E995" s="6"/>
      <c r="F995" s="6"/>
      <c r="G995" s="6"/>
      <c r="H995" s="6"/>
      <c r="I995" s="6"/>
      <c r="J995" s="6"/>
      <c r="K995" s="6"/>
      <c r="L995" s="6"/>
      <c r="M995" s="6"/>
      <c r="N995" s="6"/>
      <c r="O995" s="6"/>
      <c r="P995" s="6"/>
      <c r="Q995" s="6"/>
    </row>
    <row r="996" spans="5:17" ht="16">
      <c r="E996" s="6"/>
      <c r="F996" s="6"/>
      <c r="G996" s="6"/>
      <c r="H996" s="6"/>
      <c r="I996" s="6"/>
      <c r="J996" s="6"/>
      <c r="K996" s="6"/>
      <c r="L996" s="6"/>
      <c r="M996" s="6"/>
      <c r="N996" s="6"/>
      <c r="O996" s="6"/>
      <c r="P996" s="6"/>
      <c r="Q996" s="6"/>
    </row>
    <row r="997" spans="5:17" ht="16">
      <c r="E997" s="6"/>
      <c r="F997" s="6"/>
      <c r="G997" s="6"/>
      <c r="H997" s="6"/>
      <c r="I997" s="6"/>
      <c r="J997" s="6"/>
      <c r="K997" s="6"/>
      <c r="L997" s="6"/>
      <c r="M997" s="6"/>
      <c r="N997" s="6"/>
      <c r="O997" s="6"/>
      <c r="P997" s="6"/>
      <c r="Q997" s="6"/>
    </row>
    <row r="998" spans="5:17" ht="16">
      <c r="E998" s="6"/>
      <c r="F998" s="6"/>
      <c r="G998" s="6"/>
      <c r="H998" s="6"/>
      <c r="I998" s="6"/>
      <c r="J998" s="6"/>
      <c r="K998" s="6"/>
      <c r="L998" s="6"/>
      <c r="M998" s="6"/>
      <c r="N998" s="6"/>
      <c r="O998" s="6"/>
      <c r="P998" s="6"/>
      <c r="Q998" s="6"/>
    </row>
    <row r="999" spans="5:17" ht="16">
      <c r="E999" s="6"/>
      <c r="F999" s="6"/>
      <c r="G999" s="6"/>
      <c r="H999" s="6"/>
      <c r="I999" s="6"/>
      <c r="J999" s="6"/>
      <c r="K999" s="6"/>
      <c r="L999" s="6"/>
      <c r="M999" s="6"/>
      <c r="N999" s="6"/>
      <c r="O999" s="6"/>
      <c r="P999" s="6"/>
      <c r="Q999" s="6"/>
    </row>
    <row r="1000" spans="5:17" ht="16">
      <c r="E1000" s="6"/>
      <c r="F1000" s="6"/>
      <c r="G1000" s="6"/>
      <c r="H1000" s="6"/>
      <c r="I1000" s="6"/>
      <c r="J1000" s="6"/>
      <c r="K1000" s="6"/>
      <c r="L1000" s="6"/>
      <c r="M1000" s="6"/>
      <c r="N1000" s="6"/>
      <c r="O1000" s="6"/>
      <c r="P1000" s="6"/>
      <c r="Q1000" s="6"/>
    </row>
    <row r="1001" spans="5:17" ht="16">
      <c r="E1001" s="6"/>
      <c r="F1001" s="6"/>
      <c r="G1001" s="6"/>
      <c r="H1001" s="6"/>
      <c r="I1001" s="6"/>
      <c r="J1001" s="6"/>
      <c r="K1001" s="6"/>
      <c r="L1001" s="6"/>
      <c r="M1001" s="6"/>
      <c r="N1001" s="6"/>
      <c r="O1001" s="6"/>
      <c r="P1001" s="6"/>
      <c r="Q1001" s="6"/>
    </row>
    <row r="1002" spans="5:17" ht="16">
      <c r="E1002" s="6"/>
      <c r="F1002" s="6"/>
      <c r="G1002" s="6"/>
      <c r="H1002" s="6"/>
      <c r="I1002" s="6"/>
      <c r="J1002" s="6"/>
      <c r="K1002" s="6"/>
      <c r="L1002" s="6"/>
      <c r="M1002" s="6"/>
      <c r="N1002" s="6"/>
      <c r="O1002" s="6"/>
      <c r="P1002" s="6"/>
      <c r="Q1002" s="6"/>
    </row>
    <row r="1003" spans="5:17" ht="16">
      <c r="E1003" s="6"/>
      <c r="F1003" s="6"/>
      <c r="G1003" s="6"/>
      <c r="H1003" s="6"/>
      <c r="I1003" s="6"/>
      <c r="J1003" s="6"/>
      <c r="K1003" s="6"/>
      <c r="L1003" s="6"/>
      <c r="M1003" s="6"/>
      <c r="N1003" s="6"/>
      <c r="O1003" s="6"/>
      <c r="P1003" s="6"/>
      <c r="Q1003" s="6"/>
    </row>
    <row r="1004" spans="5:17" ht="16">
      <c r="E1004" s="6"/>
      <c r="F1004" s="6"/>
      <c r="G1004" s="6"/>
      <c r="H1004" s="6"/>
      <c r="I1004" s="6"/>
      <c r="J1004" s="6"/>
      <c r="K1004" s="6"/>
      <c r="L1004" s="6"/>
      <c r="M1004" s="6"/>
      <c r="N1004" s="6"/>
      <c r="O1004" s="6"/>
      <c r="P1004" s="6"/>
      <c r="Q1004" s="6"/>
    </row>
    <row r="1005" spans="5:17" ht="16">
      <c r="E1005" s="6"/>
      <c r="F1005" s="6"/>
      <c r="G1005" s="6"/>
      <c r="H1005" s="6"/>
      <c r="I1005" s="6"/>
      <c r="J1005" s="6"/>
      <c r="K1005" s="6"/>
      <c r="L1005" s="6"/>
      <c r="M1005" s="6"/>
      <c r="N1005" s="6"/>
      <c r="O1005" s="6"/>
      <c r="P1005" s="6"/>
      <c r="Q1005" s="6"/>
    </row>
    <row r="1006" spans="5:17" ht="16">
      <c r="E1006" s="6"/>
      <c r="F1006" s="6"/>
      <c r="G1006" s="6"/>
      <c r="H1006" s="6"/>
      <c r="I1006" s="6"/>
      <c r="J1006" s="6"/>
      <c r="K1006" s="6"/>
      <c r="L1006" s="6"/>
      <c r="M1006" s="6"/>
      <c r="N1006" s="6"/>
      <c r="O1006" s="6"/>
      <c r="P1006" s="6"/>
      <c r="Q1006" s="6"/>
    </row>
    <row r="1007" spans="5:17" ht="16">
      <c r="E1007" s="6"/>
      <c r="F1007" s="6"/>
      <c r="G1007" s="6"/>
      <c r="H1007" s="6"/>
      <c r="I1007" s="6"/>
      <c r="J1007" s="6"/>
      <c r="K1007" s="6"/>
      <c r="L1007" s="6"/>
      <c r="M1007" s="6"/>
      <c r="N1007" s="6"/>
      <c r="O1007" s="6"/>
      <c r="P1007" s="6"/>
      <c r="Q1007" s="6"/>
    </row>
    <row r="1008" spans="5:17" ht="16">
      <c r="E1008" s="6"/>
      <c r="F1008" s="6"/>
      <c r="G1008" s="6"/>
      <c r="H1008" s="6"/>
      <c r="I1008" s="6"/>
      <c r="J1008" s="6"/>
      <c r="K1008" s="6"/>
      <c r="L1008" s="6"/>
      <c r="M1008" s="6"/>
      <c r="N1008" s="6"/>
      <c r="O1008" s="6"/>
      <c r="P1008" s="6"/>
      <c r="Q1008" s="6"/>
    </row>
    <row r="1009" spans="5:17" ht="16">
      <c r="E1009" s="6"/>
      <c r="F1009" s="6"/>
      <c r="G1009" s="6"/>
      <c r="H1009" s="6"/>
      <c r="I1009" s="6"/>
      <c r="J1009" s="6"/>
      <c r="K1009" s="6"/>
      <c r="L1009" s="6"/>
      <c r="M1009" s="6"/>
      <c r="N1009" s="6"/>
      <c r="O1009" s="6"/>
      <c r="P1009" s="6"/>
      <c r="Q1009" s="6"/>
    </row>
    <row r="1010" spans="5:17" ht="16">
      <c r="E1010" s="6"/>
      <c r="F1010" s="6"/>
      <c r="G1010" s="6"/>
      <c r="H1010" s="6"/>
      <c r="I1010" s="6"/>
      <c r="J1010" s="6"/>
      <c r="K1010" s="6"/>
      <c r="L1010" s="6"/>
      <c r="M1010" s="6"/>
      <c r="N1010" s="6"/>
      <c r="O1010" s="6"/>
      <c r="P1010" s="6"/>
      <c r="Q1010" s="6"/>
    </row>
    <row r="1011" spans="5:17" ht="16">
      <c r="E1011" s="6"/>
      <c r="F1011" s="6"/>
      <c r="G1011" s="6"/>
      <c r="H1011" s="6"/>
      <c r="I1011" s="6"/>
      <c r="J1011" s="6"/>
      <c r="K1011" s="6"/>
      <c r="L1011" s="6"/>
      <c r="M1011" s="6"/>
      <c r="N1011" s="6"/>
      <c r="O1011" s="6"/>
      <c r="P1011" s="6"/>
      <c r="Q1011" s="6"/>
    </row>
    <row r="1012" spans="5:17" ht="16">
      <c r="E1012" s="6"/>
      <c r="F1012" s="6"/>
      <c r="G1012" s="6"/>
      <c r="H1012" s="6"/>
      <c r="I1012" s="6"/>
      <c r="J1012" s="6"/>
      <c r="K1012" s="6"/>
      <c r="L1012" s="6"/>
      <c r="M1012" s="6"/>
      <c r="N1012" s="6"/>
      <c r="O1012" s="6"/>
      <c r="P1012" s="6"/>
      <c r="Q1012" s="6"/>
    </row>
    <row r="1013" spans="5:17" ht="16">
      <c r="E1013" s="6"/>
      <c r="F1013" s="6"/>
      <c r="G1013" s="6"/>
      <c r="H1013" s="6"/>
      <c r="I1013" s="6"/>
      <c r="J1013" s="6"/>
      <c r="K1013" s="6"/>
      <c r="L1013" s="6"/>
      <c r="M1013" s="6"/>
      <c r="N1013" s="6"/>
      <c r="O1013" s="6"/>
      <c r="P1013" s="6"/>
      <c r="Q1013" s="6"/>
    </row>
    <row r="1014" spans="5:17" ht="16">
      <c r="E1014" s="6"/>
      <c r="F1014" s="6"/>
      <c r="G1014" s="6"/>
      <c r="H1014" s="6"/>
      <c r="I1014" s="6"/>
      <c r="J1014" s="6"/>
      <c r="K1014" s="6"/>
      <c r="L1014" s="6"/>
      <c r="M1014" s="6"/>
      <c r="N1014" s="6"/>
      <c r="O1014" s="6"/>
      <c r="P1014" s="6"/>
      <c r="Q1014" s="6"/>
    </row>
    <row r="1015" spans="5:17" ht="16">
      <c r="E1015" s="6"/>
      <c r="F1015" s="6"/>
      <c r="G1015" s="6"/>
      <c r="H1015" s="6"/>
      <c r="I1015" s="6"/>
      <c r="J1015" s="6"/>
      <c r="K1015" s="6"/>
      <c r="L1015" s="6"/>
      <c r="M1015" s="6"/>
      <c r="N1015" s="6"/>
      <c r="O1015" s="6"/>
      <c r="P1015" s="6"/>
      <c r="Q1015" s="6"/>
    </row>
    <row r="1016" spans="5:17" ht="16">
      <c r="E1016" s="6"/>
      <c r="F1016" s="6"/>
      <c r="G1016" s="6"/>
      <c r="H1016" s="6"/>
      <c r="I1016" s="6"/>
      <c r="J1016" s="6"/>
      <c r="K1016" s="6"/>
      <c r="L1016" s="6"/>
      <c r="M1016" s="6"/>
      <c r="N1016" s="6"/>
      <c r="O1016" s="6"/>
      <c r="P1016" s="6"/>
      <c r="Q1016" s="6"/>
    </row>
    <row r="1017" spans="5:17" ht="16">
      <c r="E1017" s="6"/>
      <c r="F1017" s="6"/>
      <c r="G1017" s="6"/>
      <c r="H1017" s="6"/>
      <c r="I1017" s="6"/>
      <c r="J1017" s="6"/>
      <c r="K1017" s="6"/>
      <c r="L1017" s="6"/>
      <c r="M1017" s="6"/>
      <c r="N1017" s="6"/>
      <c r="O1017" s="6"/>
      <c r="P1017" s="6"/>
      <c r="Q1017" s="6"/>
    </row>
    <row r="1018" spans="5:17" ht="16">
      <c r="E1018" s="6"/>
      <c r="F1018" s="6"/>
      <c r="G1018" s="6"/>
      <c r="H1018" s="6"/>
      <c r="I1018" s="6"/>
      <c r="J1018" s="6"/>
      <c r="K1018" s="6"/>
      <c r="L1018" s="6"/>
      <c r="M1018" s="6"/>
      <c r="N1018" s="6"/>
      <c r="O1018" s="6"/>
      <c r="P1018" s="6"/>
      <c r="Q1018" s="6"/>
    </row>
    <row r="1019" spans="5:17" ht="16">
      <c r="E1019" s="6"/>
      <c r="F1019" s="6"/>
      <c r="G1019" s="6"/>
      <c r="H1019" s="6"/>
      <c r="I1019" s="6"/>
      <c r="J1019" s="6"/>
      <c r="K1019" s="6"/>
      <c r="L1019" s="6"/>
      <c r="M1019" s="6"/>
      <c r="N1019" s="6"/>
      <c r="O1019" s="6"/>
      <c r="P1019" s="6"/>
      <c r="Q1019" s="6"/>
    </row>
    <row r="1020" spans="5:17" ht="16">
      <c r="E1020" s="6"/>
      <c r="F1020" s="6"/>
      <c r="G1020" s="6"/>
      <c r="H1020" s="6"/>
      <c r="I1020" s="6"/>
      <c r="J1020" s="6"/>
      <c r="K1020" s="6"/>
      <c r="L1020" s="6"/>
      <c r="M1020" s="6"/>
      <c r="N1020" s="6"/>
      <c r="O1020" s="6"/>
      <c r="P1020" s="6"/>
      <c r="Q1020" s="6"/>
    </row>
    <row r="1021" spans="5:17" ht="16">
      <c r="E1021" s="6"/>
      <c r="F1021" s="6"/>
      <c r="G1021" s="6"/>
      <c r="H1021" s="6"/>
      <c r="I1021" s="6"/>
      <c r="J1021" s="6"/>
      <c r="K1021" s="6"/>
      <c r="L1021" s="6"/>
      <c r="M1021" s="6"/>
      <c r="N1021" s="6"/>
      <c r="O1021" s="6"/>
      <c r="P1021" s="6"/>
      <c r="Q1021" s="6"/>
    </row>
  </sheetData>
  <mergeCells count="9">
    <mergeCell ref="A107:C107"/>
    <mergeCell ref="A92:C92"/>
    <mergeCell ref="A94:C94"/>
    <mergeCell ref="A36:B36"/>
    <mergeCell ref="A3:C3"/>
    <mergeCell ref="A10:C10"/>
    <mergeCell ref="A17:C17"/>
    <mergeCell ref="A23:C23"/>
    <mergeCell ref="A30:C30"/>
  </mergeCells>
  <hyperlinks>
    <hyperlink ref="G3" r:id="rId1" xr:uid="{00000000-0004-0000-2100-000000000000}"/>
    <hyperlink ref="G4" r:id="rId2" location=":~:text=Average%20cost%20of%20manufacturers%20business,for%20only%20business%20liability%20insurance." xr:uid="{00000000-0004-0000-2100-000001000000}"/>
    <hyperlink ref="A1" location="Index!A1" display="Index" xr:uid="{B938DE24-CE33-0A40-9FF5-DE3D6978BAA2}"/>
  </hyperlinks>
  <pageMargins left="0.7" right="0.7" top="0.75" bottom="0.75" header="0.3" footer="0.3"/>
  <pageSetup paperSize="9"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outlinePr summaryBelow="0" summaryRight="0"/>
  </sheetPr>
  <dimension ref="A1:N19"/>
  <sheetViews>
    <sheetView workbookViewId="0">
      <selection activeCell="A3" sqref="A3:G12"/>
    </sheetView>
  </sheetViews>
  <sheetFormatPr baseColWidth="10" defaultColWidth="14.33203125" defaultRowHeight="15.75" customHeight="1"/>
  <cols>
    <col min="1" max="1" width="21.33203125" customWidth="1"/>
    <col min="2" max="2" width="11.6640625" customWidth="1"/>
    <col min="3" max="7" width="10.83203125" customWidth="1"/>
    <col min="8" max="8" width="15.33203125" customWidth="1"/>
  </cols>
  <sheetData>
    <row r="1" spans="1:14" ht="26">
      <c r="A1" s="902" t="s">
        <v>0</v>
      </c>
    </row>
    <row r="3" spans="1:14" ht="15.75" customHeight="1">
      <c r="A3" s="2011" t="s">
        <v>398</v>
      </c>
      <c r="B3" s="2012"/>
      <c r="C3" s="2012"/>
      <c r="D3" s="2012"/>
      <c r="E3" s="2012"/>
      <c r="F3" s="2012"/>
      <c r="G3" s="1999"/>
      <c r="H3" s="814"/>
      <c r="I3" s="58"/>
      <c r="J3" s="58"/>
      <c r="K3" s="58"/>
      <c r="L3" s="58"/>
      <c r="M3" s="58"/>
    </row>
    <row r="4" spans="1:14" ht="15.75" customHeight="1">
      <c r="A4" s="419"/>
      <c r="B4" s="420" t="s">
        <v>22</v>
      </c>
      <c r="C4" s="420" t="s">
        <v>23</v>
      </c>
      <c r="D4" s="420" t="s">
        <v>24</v>
      </c>
      <c r="E4" s="420" t="s">
        <v>25</v>
      </c>
      <c r="F4" s="420" t="s">
        <v>26</v>
      </c>
      <c r="G4" s="421" t="s">
        <v>27</v>
      </c>
      <c r="H4" s="3"/>
    </row>
    <row r="5" spans="1:14" ht="15.75" customHeight="1">
      <c r="A5" s="422" t="s">
        <v>399</v>
      </c>
      <c r="B5" s="423">
        <v>0</v>
      </c>
      <c r="C5" s="423">
        <f>'MK Price to Channel'!D6</f>
        <v>168.8544</v>
      </c>
      <c r="D5" s="423">
        <f>'MK Price to Channel'!D13</f>
        <v>170.79840000000002</v>
      </c>
      <c r="E5" s="130">
        <f>'MK Price to Channel'!D21</f>
        <v>168.04464000000002</v>
      </c>
      <c r="F5" s="130">
        <f>'MK Price to Channel'!D30</f>
        <v>159.66906</v>
      </c>
      <c r="G5" s="424">
        <f>'MK Price to Channel'!D39</f>
        <v>154.1388</v>
      </c>
      <c r="H5" s="3"/>
    </row>
    <row r="6" spans="1:14" ht="15.75" customHeight="1">
      <c r="A6" s="425" t="s">
        <v>400</v>
      </c>
      <c r="B6" s="426">
        <f>'OM COGS Yr 0-5'!B57</f>
        <v>88.86550542005422</v>
      </c>
      <c r="C6" s="426">
        <f>'OM COGS Yr 0-5'!C57</f>
        <v>107.93986782386948</v>
      </c>
      <c r="D6" s="426">
        <f>'OM COGS Yr 0-5'!D57</f>
        <v>86.349074740152844</v>
      </c>
      <c r="E6" s="426">
        <f>'OM COGS Yr 0-5'!E57</f>
        <v>68.798252654442152</v>
      </c>
      <c r="F6" s="426">
        <f>'OM COGS Yr 0-5'!F57</f>
        <v>63.642478885780321</v>
      </c>
      <c r="G6" s="427">
        <f>'OM COGS Yr 0-5'!G57</f>
        <v>59.253430490606547</v>
      </c>
      <c r="H6" s="3"/>
    </row>
    <row r="7" spans="1:14" ht="15.75" customHeight="1">
      <c r="A7" s="428" t="s">
        <v>401</v>
      </c>
      <c r="B7" s="423">
        <f t="shared" ref="B7:G7" si="0">B5-B6</f>
        <v>-88.86550542005422</v>
      </c>
      <c r="C7" s="423">
        <f t="shared" si="0"/>
        <v>60.914532176130521</v>
      </c>
      <c r="D7" s="423">
        <f t="shared" si="0"/>
        <v>84.449325259847171</v>
      </c>
      <c r="E7" s="423">
        <f t="shared" si="0"/>
        <v>99.246387345557864</v>
      </c>
      <c r="F7" s="423">
        <f t="shared" si="0"/>
        <v>96.026581114219681</v>
      </c>
      <c r="G7" s="429">
        <f t="shared" si="0"/>
        <v>94.885369509393456</v>
      </c>
      <c r="H7" s="3"/>
    </row>
    <row r="8" spans="1:14" ht="15.75" customHeight="1">
      <c r="A8" s="422" t="s">
        <v>400</v>
      </c>
      <c r="B8" s="423">
        <f t="shared" ref="B8:G8" si="1">B6</f>
        <v>88.86550542005422</v>
      </c>
      <c r="C8" s="423">
        <f t="shared" si="1"/>
        <v>107.93986782386948</v>
      </c>
      <c r="D8" s="423">
        <f t="shared" si="1"/>
        <v>86.349074740152844</v>
      </c>
      <c r="E8" s="423">
        <f t="shared" si="1"/>
        <v>68.798252654442152</v>
      </c>
      <c r="F8" s="423">
        <f t="shared" si="1"/>
        <v>63.642478885780321</v>
      </c>
      <c r="G8" s="429">
        <f t="shared" si="1"/>
        <v>59.253430490606547</v>
      </c>
      <c r="H8" s="3"/>
    </row>
    <row r="9" spans="1:14" ht="15.75" customHeight="1">
      <c r="A9" s="425" t="s">
        <v>402</v>
      </c>
      <c r="B9" s="430">
        <v>0.3</v>
      </c>
      <c r="C9" s="430">
        <v>0.3</v>
      </c>
      <c r="D9" s="430">
        <v>0.3</v>
      </c>
      <c r="E9" s="430">
        <v>0.3</v>
      </c>
      <c r="F9" s="430">
        <v>0.3</v>
      </c>
      <c r="G9" s="431">
        <v>0.3</v>
      </c>
    </row>
    <row r="10" spans="1:14" ht="15.75" customHeight="1">
      <c r="A10" s="428" t="s">
        <v>403</v>
      </c>
      <c r="B10" s="130">
        <f t="shared" ref="B10:G10" si="2">(B8*B9)/6</f>
        <v>4.4432752710027108</v>
      </c>
      <c r="C10" s="130">
        <f t="shared" si="2"/>
        <v>5.3969933911934733</v>
      </c>
      <c r="D10" s="130">
        <f t="shared" si="2"/>
        <v>4.317453737007642</v>
      </c>
      <c r="E10" s="130">
        <f t="shared" si="2"/>
        <v>3.4399126327221072</v>
      </c>
      <c r="F10" s="130">
        <f t="shared" si="2"/>
        <v>3.1821239442890157</v>
      </c>
      <c r="G10" s="424">
        <f t="shared" si="2"/>
        <v>2.962671524530327</v>
      </c>
      <c r="H10" s="14"/>
    </row>
    <row r="11" spans="1:14" ht="15.75" customHeight="1">
      <c r="A11" s="428" t="s">
        <v>398</v>
      </c>
      <c r="B11" s="432">
        <f>(99.99%)</f>
        <v>0.9998999999999999</v>
      </c>
      <c r="C11" s="433">
        <f t="shared" ref="C11:G11" si="3">IF((C7/(C10+C7))&gt;=1,0.9999,(C7/(C10+C7)))</f>
        <v>0.91861153328897438</v>
      </c>
      <c r="D11" s="433">
        <f t="shared" si="3"/>
        <v>0.95136182943890957</v>
      </c>
      <c r="E11" s="433">
        <f t="shared" si="3"/>
        <v>0.9665007636515317</v>
      </c>
      <c r="F11" s="433">
        <f t="shared" si="3"/>
        <v>0.96792495232739562</v>
      </c>
      <c r="G11" s="434">
        <f t="shared" si="3"/>
        <v>0.96972170834260063</v>
      </c>
      <c r="H11" s="66"/>
      <c r="I11" s="61"/>
      <c r="J11" s="61"/>
      <c r="K11" s="61"/>
      <c r="L11" s="61"/>
      <c r="M11" s="61"/>
      <c r="N11" s="132"/>
    </row>
    <row r="12" spans="1:14" ht="15.75" customHeight="1">
      <c r="A12" s="435" t="s">
        <v>404</v>
      </c>
      <c r="B12" s="436">
        <f t="shared" ref="B12:G12" si="4">_xlfn.NORM.S.INV(B11)</f>
        <v>3.7190164854554291</v>
      </c>
      <c r="C12" s="436">
        <f t="shared" si="4"/>
        <v>1.3957926863053887</v>
      </c>
      <c r="D12" s="436">
        <f t="shared" si="4"/>
        <v>1.6582037848058486</v>
      </c>
      <c r="E12" s="436">
        <f t="shared" si="4"/>
        <v>1.8316842757004377</v>
      </c>
      <c r="F12" s="436">
        <f t="shared" si="4"/>
        <v>1.8511352686720619</v>
      </c>
      <c r="G12" s="437">
        <f t="shared" si="4"/>
        <v>1.8767192466310307</v>
      </c>
    </row>
    <row r="13" spans="1:14" ht="15.75" customHeight="1">
      <c r="B13" s="238" t="s">
        <v>405</v>
      </c>
    </row>
    <row r="14" spans="1:14" ht="15.75" customHeight="1">
      <c r="B14" s="1532"/>
      <c r="C14" s="1533"/>
      <c r="D14" s="1533"/>
      <c r="E14" s="1533"/>
      <c r="F14" s="1533"/>
      <c r="G14" s="1533"/>
      <c r="H14" s="1531"/>
    </row>
    <row r="15" spans="1:14" ht="13">
      <c r="B15" s="1531"/>
      <c r="C15" s="1531"/>
      <c r="D15" s="1531"/>
      <c r="E15" s="1531"/>
      <c r="F15" s="1531"/>
      <c r="G15" s="1534" t="s">
        <v>20</v>
      </c>
      <c r="H15" s="1531"/>
    </row>
    <row r="16" spans="1:14" ht="15.75" customHeight="1">
      <c r="B16" s="1531"/>
      <c r="C16" s="1531"/>
      <c r="D16" s="1531"/>
      <c r="E16" s="1531"/>
      <c r="F16" s="1531"/>
      <c r="G16" s="1531"/>
      <c r="H16" s="1531"/>
    </row>
    <row r="17" spans="2:8" ht="13">
      <c r="B17" s="1531"/>
      <c r="C17" s="1535"/>
      <c r="D17" s="1531"/>
      <c r="E17" s="1531"/>
      <c r="F17" s="1531"/>
      <c r="G17" s="1531"/>
      <c r="H17" s="1531"/>
    </row>
    <row r="18" spans="2:8" ht="15">
      <c r="B18" s="1531"/>
      <c r="C18" s="1536"/>
      <c r="D18" s="1531"/>
      <c r="E18" s="1531"/>
      <c r="F18" s="1531"/>
      <c r="G18" s="1531"/>
      <c r="H18" s="1531"/>
    </row>
    <row r="19" spans="2:8" ht="15.75" customHeight="1">
      <c r="B19" s="1531"/>
      <c r="C19" s="1531"/>
      <c r="D19" s="1531"/>
      <c r="E19" s="1531"/>
      <c r="F19" s="1531"/>
      <c r="G19" s="1531"/>
      <c r="H19" s="1531"/>
    </row>
  </sheetData>
  <mergeCells count="1">
    <mergeCell ref="A3:G3"/>
  </mergeCells>
  <hyperlinks>
    <hyperlink ref="A1" location="Index!A1" display="Index" xr:uid="{476D403F-3AED-7240-B701-5E3A535B9AC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outlinePr summaryBelow="0" summaryRight="0"/>
  </sheetPr>
  <dimension ref="A1:J1003"/>
  <sheetViews>
    <sheetView topLeftCell="C139" zoomScale="125" workbookViewId="0">
      <selection activeCell="G156" sqref="G156"/>
    </sheetView>
  </sheetViews>
  <sheetFormatPr baseColWidth="10" defaultColWidth="14.33203125" defaultRowHeight="15.75" customHeight="1"/>
  <cols>
    <col min="1" max="1" width="67.33203125" customWidth="1"/>
    <col min="2" max="2" width="25.1640625" customWidth="1"/>
    <col min="3" max="4" width="23.5" customWidth="1"/>
    <col min="5" max="5" width="29.1640625" customWidth="1"/>
    <col min="6" max="6" width="11.1640625" customWidth="1"/>
    <col min="7" max="7" width="28.6640625" customWidth="1"/>
    <col min="9" max="9" width="17" bestFit="1" customWidth="1"/>
  </cols>
  <sheetData>
    <row r="1" spans="1:7" ht="25">
      <c r="A1" s="438" t="s">
        <v>0</v>
      </c>
      <c r="B1" s="439"/>
      <c r="C1" s="439"/>
      <c r="D1" s="439"/>
      <c r="E1" s="439"/>
      <c r="F1" s="439"/>
    </row>
    <row r="2" spans="1:7" ht="15.75" customHeight="1">
      <c r="E2" s="5"/>
      <c r="G2" s="267"/>
    </row>
    <row r="3" spans="1:7" ht="24" customHeight="1">
      <c r="A3" s="2038" t="s">
        <v>406</v>
      </c>
      <c r="B3" s="2012"/>
      <c r="C3" s="1999"/>
      <c r="D3" s="440"/>
      <c r="E3" s="441" t="s">
        <v>407</v>
      </c>
      <c r="F3" s="442" t="s">
        <v>408</v>
      </c>
    </row>
    <row r="4" spans="1:7" ht="15.75" customHeight="1">
      <c r="E4" s="443">
        <f>'OM PERT Model for Demand &amp; Lead'!K7</f>
        <v>15.555555555555554</v>
      </c>
      <c r="F4" s="443">
        <f>E4/7</f>
        <v>2.2222222222222219</v>
      </c>
    </row>
    <row r="5" spans="1:7" ht="15.75" customHeight="1">
      <c r="A5" s="133" t="s">
        <v>409</v>
      </c>
      <c r="B5" s="3"/>
      <c r="C5" s="3"/>
      <c r="E5" s="441" t="s">
        <v>410</v>
      </c>
      <c r="F5" s="442" t="s">
        <v>408</v>
      </c>
    </row>
    <row r="6" spans="1:7" ht="15.75" customHeight="1">
      <c r="A6" s="444"/>
      <c r="B6" s="445" t="s">
        <v>411</v>
      </c>
      <c r="C6" s="446" t="s">
        <v>412</v>
      </c>
      <c r="E6" s="815">
        <f>'OM Aggregate Hybrid Plan Y0-5'!P7</f>
        <v>1574.3999999999999</v>
      </c>
      <c r="F6" s="447">
        <f>E6/52</f>
        <v>30.276923076923076</v>
      </c>
    </row>
    <row r="7" spans="1:7" ht="15.75" customHeight="1">
      <c r="A7" s="422" t="s">
        <v>413</v>
      </c>
      <c r="B7" s="448">
        <f>F20/2</f>
        <v>40.123383518640395</v>
      </c>
      <c r="C7" s="424">
        <f>B7*$E$18</f>
        <v>1906.2619509706053</v>
      </c>
      <c r="E7" s="449" t="s">
        <v>414</v>
      </c>
      <c r="F7" s="254" t="s">
        <v>408</v>
      </c>
    </row>
    <row r="8" spans="1:7" ht="15.75" customHeight="1">
      <c r="A8" s="422" t="s">
        <v>415</v>
      </c>
      <c r="B8" s="450">
        <f>E14*SQRT((F4)*(F8^2)+(F6^2)*(F10^2))</f>
        <v>173.56015152523997</v>
      </c>
      <c r="C8" s="424">
        <f t="shared" ref="C8:C9" si="0">B8*$E$18</f>
        <v>8245.8427989641514</v>
      </c>
      <c r="E8" s="451">
        <f>E6/SQRT(52)</f>
        <v>218.32999723425019</v>
      </c>
      <c r="F8" s="447">
        <f>E8/SQRT(52)</f>
        <v>30.276923076923079</v>
      </c>
    </row>
    <row r="9" spans="1:7" ht="15.75" customHeight="1">
      <c r="A9" s="422" t="s">
        <v>416</v>
      </c>
      <c r="B9" s="450">
        <f>F4*F6</f>
        <v>67.28205128205127</v>
      </c>
      <c r="C9" s="424">
        <f t="shared" si="0"/>
        <v>3196.5702564102562</v>
      </c>
      <c r="D9" s="440"/>
      <c r="E9" s="441" t="s">
        <v>417</v>
      </c>
      <c r="F9" s="442" t="s">
        <v>408</v>
      </c>
    </row>
    <row r="10" spans="1:7" ht="15.75" customHeight="1">
      <c r="A10" s="452" t="s">
        <v>381</v>
      </c>
      <c r="B10" s="453">
        <f>SUM(B7:B9)</f>
        <v>280.96558632593167</v>
      </c>
      <c r="C10" s="454">
        <f t="shared" ref="C10:C11" si="1">B10*$E$42</f>
        <v>12948.214756154664</v>
      </c>
      <c r="D10" s="440"/>
      <c r="E10" s="455">
        <f>'OM PERT Model for Demand &amp; Lead'!B22</f>
        <v>1.037037037037037</v>
      </c>
      <c r="F10" s="456">
        <f>E10/SQRT(7)</f>
        <v>0.39196315719475411</v>
      </c>
    </row>
    <row r="11" spans="1:7" ht="15.75" customHeight="1">
      <c r="A11" s="232" t="s">
        <v>418</v>
      </c>
      <c r="B11" s="457">
        <f>B10-B9</f>
        <v>213.6835350438804</v>
      </c>
      <c r="C11" s="458">
        <f t="shared" si="1"/>
        <v>9847.5416074367167</v>
      </c>
      <c r="E11" s="441" t="s">
        <v>398</v>
      </c>
      <c r="F11" s="6"/>
    </row>
    <row r="12" spans="1:7" ht="15.75" customHeight="1">
      <c r="A12" s="3"/>
      <c r="B12" s="459"/>
      <c r="C12" s="459"/>
      <c r="E12" s="460">
        <f>'OM Service Level'!B11</f>
        <v>0.9998999999999999</v>
      </c>
      <c r="F12" s="6"/>
    </row>
    <row r="13" spans="1:7" ht="15.75" customHeight="1">
      <c r="A13" s="133" t="s">
        <v>419</v>
      </c>
      <c r="B13" s="3"/>
      <c r="C13" s="3"/>
      <c r="E13" s="441" t="s">
        <v>404</v>
      </c>
      <c r="F13" s="6"/>
    </row>
    <row r="14" spans="1:7" ht="15.75" customHeight="1">
      <c r="A14" s="461"/>
      <c r="B14" s="462" t="s">
        <v>420</v>
      </c>
      <c r="C14" s="446" t="s">
        <v>421</v>
      </c>
      <c r="E14" s="456">
        <f>'OM Service Level'!B12</f>
        <v>3.7190164854554291</v>
      </c>
      <c r="F14" s="6"/>
    </row>
    <row r="15" spans="1:7" ht="15.75" customHeight="1">
      <c r="A15" s="824" t="s">
        <v>413</v>
      </c>
      <c r="B15" s="464">
        <f>F6*1</f>
        <v>30.276923076923076</v>
      </c>
      <c r="C15" s="465">
        <f>B15*($E$16+$E$18)/2</f>
        <v>2064.5153435897437</v>
      </c>
      <c r="E15" s="441" t="s">
        <v>400</v>
      </c>
      <c r="F15" s="6"/>
    </row>
    <row r="16" spans="1:7" ht="15.75" customHeight="1">
      <c r="A16" s="825" t="s">
        <v>415</v>
      </c>
      <c r="B16" s="467">
        <v>0</v>
      </c>
      <c r="C16" s="465">
        <f>B16*($E$16+$E$18)/2</f>
        <v>0</v>
      </c>
      <c r="D16" s="440"/>
      <c r="E16" s="469">
        <f>'OM COGS Yr 0-5'!B57</f>
        <v>88.86550542005422</v>
      </c>
      <c r="F16" s="6"/>
    </row>
    <row r="17" spans="1:8" ht="15.75" customHeight="1">
      <c r="A17" s="826" t="s">
        <v>381</v>
      </c>
      <c r="B17" s="470">
        <f>B15</f>
        <v>30.276923076923076</v>
      </c>
      <c r="C17" s="471">
        <f t="shared" ref="C17" si="2">B17*($E$40+$E$42)/2</f>
        <v>2331.6949959798089</v>
      </c>
      <c r="E17" s="472" t="s">
        <v>422</v>
      </c>
      <c r="F17" s="6"/>
    </row>
    <row r="18" spans="1:8" ht="15.75" customHeight="1" thickTop="1" thickBot="1">
      <c r="A18" s="3"/>
      <c r="B18" s="3"/>
      <c r="C18" s="3"/>
      <c r="E18" s="469">
        <f>'OM BOM EOQ Y0-Y5'!P30</f>
        <v>47.510000000000005</v>
      </c>
      <c r="F18" s="6"/>
    </row>
    <row r="19" spans="1:8" ht="18" thickTop="1" thickBot="1">
      <c r="A19" s="133" t="s">
        <v>423</v>
      </c>
      <c r="B19" s="6"/>
      <c r="C19" s="3"/>
      <c r="E19" s="472" t="s">
        <v>850</v>
      </c>
      <c r="F19" s="442" t="s">
        <v>408</v>
      </c>
    </row>
    <row r="20" spans="1:8" ht="18" thickTop="1" thickBot="1">
      <c r="A20" s="461"/>
      <c r="B20" s="462" t="s">
        <v>424</v>
      </c>
      <c r="C20" s="473" t="s">
        <v>425</v>
      </c>
      <c r="E20" s="823">
        <f>'OM BOM EOQ Y0-Y5'!I52</f>
        <v>4172.8318859386009</v>
      </c>
      <c r="F20" s="451">
        <f>E20/52</f>
        <v>80.24676703728079</v>
      </c>
    </row>
    <row r="21" spans="1:8" ht="17" thickTop="1">
      <c r="A21" s="422" t="s">
        <v>413</v>
      </c>
      <c r="B21" s="474">
        <f>F6/2</f>
        <v>15.138461538461538</v>
      </c>
      <c r="C21" s="465">
        <f>B21*$E$16</f>
        <v>1345.2870358974362</v>
      </c>
      <c r="E21" s="5"/>
      <c r="F21" s="5"/>
      <c r="G21" s="931"/>
    </row>
    <row r="22" spans="1:8" ht="16">
      <c r="A22" s="422" t="s">
        <v>415</v>
      </c>
      <c r="B22" s="450">
        <f>E14*F8*SQRT(1)</f>
        <v>112.60037605194285</v>
      </c>
      <c r="C22" s="465">
        <f>B22*$E$16</f>
        <v>10006.28932834407</v>
      </c>
      <c r="E22" s="5"/>
      <c r="F22" s="5"/>
      <c r="G22" s="931"/>
    </row>
    <row r="23" spans="1:8" ht="16">
      <c r="A23" s="475" t="s">
        <v>426</v>
      </c>
      <c r="B23" s="476">
        <v>0</v>
      </c>
      <c r="C23" s="477">
        <f t="shared" ref="C23:C24" si="3">B23*$E$40</f>
        <v>0</v>
      </c>
      <c r="E23" s="5"/>
      <c r="F23" s="5"/>
      <c r="G23" s="931"/>
    </row>
    <row r="24" spans="1:8" ht="16">
      <c r="A24" s="478" t="s">
        <v>381</v>
      </c>
      <c r="B24" s="470">
        <f>SUM(B21:B23)</f>
        <v>127.73883759040439</v>
      </c>
      <c r="C24" s="471">
        <f t="shared" si="3"/>
        <v>13788.113245482979</v>
      </c>
      <c r="E24" s="5"/>
      <c r="F24" s="5"/>
      <c r="G24" s="931"/>
    </row>
    <row r="25" spans="1:8" ht="15.75" customHeight="1">
      <c r="G25" s="931"/>
    </row>
    <row r="26" spans="1:8" ht="15.75" customHeight="1">
      <c r="G26" s="931"/>
    </row>
    <row r="27" spans="1:8" ht="25">
      <c r="A27" s="2038" t="s">
        <v>427</v>
      </c>
      <c r="B27" s="2012"/>
      <c r="C27" s="1999"/>
      <c r="D27" s="440"/>
      <c r="E27" s="441" t="s">
        <v>407</v>
      </c>
      <c r="F27" s="479" t="s">
        <v>408</v>
      </c>
      <c r="G27" s="932"/>
    </row>
    <row r="28" spans="1:8" ht="16">
      <c r="E28" s="456">
        <f>'OM PERT Model for Demand &amp; Lead'!K7</f>
        <v>15.555555555555554</v>
      </c>
      <c r="F28" s="480">
        <f>E28/7</f>
        <v>2.2222222222222219</v>
      </c>
      <c r="G28" s="931"/>
      <c r="H28" s="812"/>
    </row>
    <row r="29" spans="1:8" ht="18" thickTop="1" thickBot="1">
      <c r="A29" s="133" t="s">
        <v>409</v>
      </c>
      <c r="B29" s="3"/>
      <c r="C29" s="3"/>
      <c r="E29" s="441" t="s">
        <v>428</v>
      </c>
      <c r="F29" s="479" t="s">
        <v>408</v>
      </c>
      <c r="G29" s="931"/>
    </row>
    <row r="30" spans="1:8" ht="18" thickTop="1" thickBot="1">
      <c r="A30" s="481"/>
      <c r="B30" s="482" t="s">
        <v>411</v>
      </c>
      <c r="C30" s="819" t="s">
        <v>412</v>
      </c>
      <c r="E30" s="483">
        <f>'OM PERT Model for Demand &amp; Lead'!B9</f>
        <v>13854.601515799892</v>
      </c>
      <c r="F30" s="484">
        <f>E30/52</f>
        <v>266.43464453461331</v>
      </c>
      <c r="G30" s="931"/>
    </row>
    <row r="31" spans="1:8" ht="17" thickTop="1">
      <c r="A31" s="485" t="s">
        <v>413</v>
      </c>
      <c r="B31" s="817">
        <f>F44/2</f>
        <v>114.35521504682063</v>
      </c>
      <c r="C31" s="820">
        <f>B31*$E$42</f>
        <v>5270.0257788682156</v>
      </c>
      <c r="E31" s="441" t="s">
        <v>414</v>
      </c>
      <c r="F31" s="479" t="s">
        <v>408</v>
      </c>
      <c r="G31" s="931"/>
    </row>
    <row r="32" spans="1:8" ht="17" thickBot="1">
      <c r="A32" s="422" t="s">
        <v>415</v>
      </c>
      <c r="B32" s="818">
        <f>E38*SQRT((F28)*(F32^2)+(F30^2)*(F34^2))</f>
        <v>933.98434899344215</v>
      </c>
      <c r="C32" s="821">
        <f t="shared" ref="C32:C33" si="4">B32*$E$42</f>
        <v>43042.388528058087</v>
      </c>
      <c r="E32" s="486">
        <f>'OM PERT Model for Demand &amp; Lead'!B10</f>
        <v>3197.2157344153597</v>
      </c>
      <c r="F32" s="484">
        <f>E32/SQRT(52)</f>
        <v>443.37404881364756</v>
      </c>
      <c r="G32" s="931"/>
    </row>
    <row r="33" spans="1:7" ht="18" thickTop="1" thickBot="1">
      <c r="A33" s="475" t="s">
        <v>416</v>
      </c>
      <c r="B33" s="545">
        <f>F28*F30</f>
        <v>592.0769878546962</v>
      </c>
      <c r="C33" s="822">
        <f t="shared" si="4"/>
        <v>27285.690362187321</v>
      </c>
      <c r="D33" s="440"/>
      <c r="E33" s="441" t="s">
        <v>417</v>
      </c>
      <c r="F33" s="479" t="s">
        <v>408</v>
      </c>
      <c r="G33" s="931"/>
    </row>
    <row r="34" spans="1:7" ht="18" thickTop="1" thickBot="1">
      <c r="A34" s="452" t="s">
        <v>381</v>
      </c>
      <c r="B34" s="453">
        <f>SUM(B31:B33)</f>
        <v>1640.416551894959</v>
      </c>
      <c r="C34" s="816">
        <f t="shared" ref="C34:C35" si="5">B34*$E$42</f>
        <v>75598.104669113629</v>
      </c>
      <c r="D34" s="440"/>
      <c r="E34" s="455">
        <f>'OM PERT Model for Demand &amp; Lead'!B22</f>
        <v>1.037037037037037</v>
      </c>
      <c r="F34" s="480">
        <f>E34/SQRT(7)</f>
        <v>0.39196315719475411</v>
      </c>
      <c r="G34" s="931"/>
    </row>
    <row r="35" spans="1:7" ht="18" thickTop="1" thickBot="1">
      <c r="A35" s="232" t="s">
        <v>418</v>
      </c>
      <c r="B35" s="457">
        <f>B34-B33</f>
        <v>1048.3395640402628</v>
      </c>
      <c r="C35" s="458">
        <f t="shared" si="5"/>
        <v>48312.414306926301</v>
      </c>
      <c r="E35" s="441" t="s">
        <v>398</v>
      </c>
      <c r="F35" s="6"/>
      <c r="G35" s="931"/>
    </row>
    <row r="36" spans="1:7" ht="16">
      <c r="A36" s="3"/>
      <c r="B36" s="459"/>
      <c r="C36" s="459"/>
      <c r="E36" s="460">
        <f>'OM Service Level'!C11</f>
        <v>0.91861153328897438</v>
      </c>
      <c r="F36" s="6"/>
      <c r="G36" s="931"/>
    </row>
    <row r="37" spans="1:7" ht="16">
      <c r="A37" s="133" t="s">
        <v>419</v>
      </c>
      <c r="B37" s="3"/>
      <c r="C37" s="3"/>
      <c r="E37" s="441" t="s">
        <v>404</v>
      </c>
      <c r="F37" s="6"/>
      <c r="G37" s="931"/>
    </row>
    <row r="38" spans="1:7" ht="16">
      <c r="A38" s="461"/>
      <c r="B38" s="462" t="s">
        <v>420</v>
      </c>
      <c r="C38" s="446" t="s">
        <v>421</v>
      </c>
      <c r="E38" s="456">
        <f>'OM Service Level'!C12</f>
        <v>1.3957926863053887</v>
      </c>
      <c r="F38" s="6"/>
      <c r="G38" s="931"/>
    </row>
    <row r="39" spans="1:7" ht="16">
      <c r="A39" s="422" t="s">
        <v>413</v>
      </c>
      <c r="B39" s="464">
        <f>F30*1</f>
        <v>266.43464453461331</v>
      </c>
      <c r="C39" s="465">
        <f>B39*($E$40+$E$42)/2</f>
        <v>20518.740488875053</v>
      </c>
      <c r="E39" s="441" t="s">
        <v>400</v>
      </c>
      <c r="F39" s="6"/>
      <c r="G39" s="931"/>
    </row>
    <row r="40" spans="1:7" ht="16">
      <c r="A40" s="475" t="s">
        <v>415</v>
      </c>
      <c r="B40" s="467">
        <v>0</v>
      </c>
      <c r="C40" s="468">
        <f t="shared" ref="C40:C41" si="6">B40*($E$40+$E$42)/2</f>
        <v>0</v>
      </c>
      <c r="D40" s="440"/>
      <c r="E40" s="488">
        <f>'OM COGS Yr 0-5'!C57</f>
        <v>107.93986782386948</v>
      </c>
      <c r="F40" s="6"/>
      <c r="G40" s="931"/>
    </row>
    <row r="41" spans="1:7" ht="16">
      <c r="A41" s="478" t="s">
        <v>381</v>
      </c>
      <c r="B41" s="470">
        <f>B39</f>
        <v>266.43464453461331</v>
      </c>
      <c r="C41" s="471">
        <f t="shared" si="6"/>
        <v>20518.740488875053</v>
      </c>
      <c r="E41" s="489" t="s">
        <v>422</v>
      </c>
      <c r="F41" s="6"/>
      <c r="G41" s="931"/>
    </row>
    <row r="42" spans="1:7" ht="18" thickTop="1" thickBot="1">
      <c r="A42" s="3"/>
      <c r="B42" s="3"/>
      <c r="C42" s="3"/>
      <c r="E42" s="488">
        <f>'OM BOM EOQ Y0-Y5'!P31</f>
        <v>46.084700000000005</v>
      </c>
      <c r="F42" s="6"/>
      <c r="G42" s="931"/>
    </row>
    <row r="43" spans="1:7" ht="18" thickTop="1" thickBot="1">
      <c r="A43" s="133" t="s">
        <v>423</v>
      </c>
      <c r="B43" s="6"/>
      <c r="C43" s="3"/>
      <c r="E43" s="472" t="s">
        <v>850</v>
      </c>
      <c r="F43" s="442" t="s">
        <v>408</v>
      </c>
      <c r="G43" s="931"/>
    </row>
    <row r="44" spans="1:7" ht="18" thickTop="1" thickBot="1">
      <c r="A44" s="461"/>
      <c r="B44" s="462" t="s">
        <v>424</v>
      </c>
      <c r="C44" s="473" t="s">
        <v>425</v>
      </c>
      <c r="E44" s="823">
        <f>'OM BOM EOQ Y0-Y5'!I79</f>
        <v>11892.942364869346</v>
      </c>
      <c r="F44" s="451">
        <f>E44/52</f>
        <v>228.71043009364126</v>
      </c>
      <c r="G44" s="931"/>
    </row>
    <row r="45" spans="1:7" ht="17" thickTop="1">
      <c r="A45" s="422" t="s">
        <v>413</v>
      </c>
      <c r="B45" s="474">
        <f>F30/2</f>
        <v>133.21732226730666</v>
      </c>
      <c r="C45" s="465">
        <f t="shared" ref="C45:C48" si="7">B45*$E$40</f>
        <v>14379.460157382904</v>
      </c>
      <c r="E45" s="5"/>
      <c r="F45" s="5"/>
      <c r="G45" s="931"/>
    </row>
    <row r="46" spans="1:7" ht="16">
      <c r="A46" s="422" t="s">
        <v>415</v>
      </c>
      <c r="B46" s="450">
        <f>E38*F32*SQRT(1)</f>
        <v>618.8582546316976</v>
      </c>
      <c r="C46" s="465">
        <f t="shared" si="7"/>
        <v>66799.478206656</v>
      </c>
      <c r="E46" s="5"/>
      <c r="F46" s="5"/>
      <c r="G46" s="931"/>
    </row>
    <row r="47" spans="1:7" ht="16">
      <c r="A47" s="475" t="s">
        <v>426</v>
      </c>
      <c r="B47" s="476">
        <f>'OM Aggregate Hybrid Plan Y0-5'!C38/52</f>
        <v>37.84615384615384</v>
      </c>
      <c r="C47" s="477">
        <f t="shared" si="7"/>
        <v>4085.1088437956751</v>
      </c>
      <c r="D47" s="812"/>
      <c r="E47" s="5"/>
      <c r="F47" s="5"/>
      <c r="G47" s="931"/>
    </row>
    <row r="48" spans="1:7" ht="16">
      <c r="A48" s="478" t="s">
        <v>381</v>
      </c>
      <c r="B48" s="470">
        <f>SUM(B45:B47)</f>
        <v>789.92173074515813</v>
      </c>
      <c r="C48" s="471">
        <f t="shared" si="7"/>
        <v>85264.047207834577</v>
      </c>
      <c r="E48" s="5"/>
      <c r="F48" s="5"/>
      <c r="G48" s="931"/>
    </row>
    <row r="49" spans="1:7" ht="13">
      <c r="E49" s="5"/>
      <c r="F49" s="5"/>
      <c r="G49" s="931"/>
    </row>
    <row r="50" spans="1:7" ht="15.75" customHeight="1">
      <c r="G50" s="931"/>
    </row>
    <row r="51" spans="1:7" ht="25">
      <c r="A51" s="2038" t="s">
        <v>429</v>
      </c>
      <c r="B51" s="2012"/>
      <c r="C51" s="1999"/>
      <c r="D51" s="440"/>
      <c r="E51" s="441" t="s">
        <v>407</v>
      </c>
      <c r="F51" s="479" t="s">
        <v>408</v>
      </c>
      <c r="G51" s="932"/>
    </row>
    <row r="52" spans="1:7" ht="16">
      <c r="D52" s="3"/>
      <c r="E52" s="490">
        <f>'OM PERT Model for Demand &amp; Lead'!B21</f>
        <v>15.555555555555555</v>
      </c>
      <c r="F52" s="480">
        <f>E52/7</f>
        <v>2.2222222222222223</v>
      </c>
      <c r="G52" s="931"/>
    </row>
    <row r="53" spans="1:7" ht="16">
      <c r="A53" s="133" t="s">
        <v>409</v>
      </c>
      <c r="B53" s="3"/>
      <c r="C53" s="3"/>
      <c r="D53" s="3"/>
      <c r="E53" s="491" t="s">
        <v>428</v>
      </c>
      <c r="F53" s="479" t="s">
        <v>408</v>
      </c>
      <c r="G53" s="931"/>
    </row>
    <row r="54" spans="1:7" ht="16">
      <c r="A54" s="444"/>
      <c r="B54" s="445" t="s">
        <v>411</v>
      </c>
      <c r="C54" s="446" t="s">
        <v>412</v>
      </c>
      <c r="D54" s="3"/>
      <c r="E54" s="492">
        <f>'OM PERT Model for Demand &amp; Lead'!C9</f>
        <v>19814.989813679011</v>
      </c>
      <c r="F54" s="484">
        <f>E54/52</f>
        <v>381.05749641690403</v>
      </c>
      <c r="G54" s="931"/>
    </row>
    <row r="55" spans="1:7" ht="16">
      <c r="A55" s="422" t="s">
        <v>413</v>
      </c>
      <c r="B55" s="450">
        <f>F68/2</f>
        <v>136.75898914473993</v>
      </c>
      <c r="C55" s="424">
        <f>B55*$E$66</f>
        <v>6302.4969870385967</v>
      </c>
      <c r="D55" s="3"/>
      <c r="E55" s="491" t="s">
        <v>414</v>
      </c>
      <c r="F55" s="479" t="s">
        <v>408</v>
      </c>
      <c r="G55" s="931"/>
    </row>
    <row r="56" spans="1:7" ht="16">
      <c r="A56" s="422" t="s">
        <v>415</v>
      </c>
      <c r="B56" s="450">
        <f>E62*SQRT((F52)*(F56^2)+(F54^2)*(F58^2))</f>
        <v>1586.9249806019711</v>
      </c>
      <c r="C56" s="424">
        <f t="shared" ref="C56:C57" si="8">B56*$E$66</f>
        <v>73132.961653547667</v>
      </c>
      <c r="D56" s="3"/>
      <c r="E56" s="492">
        <f>'OM PERT Model for Demand &amp; Lead'!C10</f>
        <v>4572.6899570028481</v>
      </c>
      <c r="F56" s="484">
        <f>E56/SQRT(52)</f>
        <v>634.11800410665364</v>
      </c>
      <c r="G56" s="931"/>
    </row>
    <row r="57" spans="1:7" ht="16">
      <c r="A57" s="475" t="s">
        <v>416</v>
      </c>
      <c r="B57" s="487">
        <f>F52*F54</f>
        <v>846.79443648200902</v>
      </c>
      <c r="C57" s="493">
        <f t="shared" si="8"/>
        <v>39024.267566942442</v>
      </c>
      <c r="D57" s="459"/>
      <c r="E57" s="491" t="s">
        <v>417</v>
      </c>
      <c r="F57" s="479" t="s">
        <v>408</v>
      </c>
      <c r="G57" s="931"/>
    </row>
    <row r="58" spans="1:7" ht="16">
      <c r="A58" s="452" t="s">
        <v>381</v>
      </c>
      <c r="B58" s="453">
        <f t="shared" ref="B58:C58" si="9">SUM(B55:B57)</f>
        <v>2570.4784062287199</v>
      </c>
      <c r="C58" s="454">
        <f t="shared" si="9"/>
        <v>118459.7262075287</v>
      </c>
      <c r="D58" s="459"/>
      <c r="E58" s="494">
        <f>'OM PERT Model for Demand &amp; Lead'!B22</f>
        <v>1.037037037037037</v>
      </c>
      <c r="F58" s="480">
        <f>E58/SQRT(7)</f>
        <v>0.39196315719475411</v>
      </c>
      <c r="G58" s="931"/>
    </row>
    <row r="59" spans="1:7" ht="16">
      <c r="A59" s="232" t="s">
        <v>418</v>
      </c>
      <c r="B59" s="457">
        <f>B58-B57</f>
        <v>1723.6839697467108</v>
      </c>
      <c r="C59" s="458">
        <f>B59*E66</f>
        <v>79435.45864058625</v>
      </c>
      <c r="D59" s="3"/>
      <c r="E59" s="491" t="s">
        <v>398</v>
      </c>
      <c r="F59" s="6"/>
      <c r="G59" s="931"/>
    </row>
    <row r="60" spans="1:7" ht="16">
      <c r="A60" s="3"/>
      <c r="B60" s="459"/>
      <c r="C60" s="495"/>
      <c r="D60" s="3"/>
      <c r="E60" s="496">
        <f>'OM Service Level'!D11</f>
        <v>0.95136182943890957</v>
      </c>
      <c r="F60" s="6"/>
      <c r="G60" s="931"/>
    </row>
    <row r="61" spans="1:7" ht="16">
      <c r="A61" s="133" t="s">
        <v>419</v>
      </c>
      <c r="B61" s="3"/>
      <c r="C61" s="272"/>
      <c r="D61" s="3"/>
      <c r="E61" s="491" t="s">
        <v>404</v>
      </c>
      <c r="F61" s="6"/>
      <c r="G61" s="931"/>
    </row>
    <row r="62" spans="1:7" ht="16">
      <c r="A62" s="461"/>
      <c r="B62" s="462" t="s">
        <v>420</v>
      </c>
      <c r="C62" s="497" t="s">
        <v>421</v>
      </c>
      <c r="D62" s="3"/>
      <c r="E62" s="498">
        <f>_xlfn.NORM.S.INV(E60)</f>
        <v>1.6582037848058486</v>
      </c>
      <c r="F62" s="6"/>
      <c r="G62" s="931"/>
    </row>
    <row r="63" spans="1:7" ht="16">
      <c r="A63" s="422" t="s">
        <v>413</v>
      </c>
      <c r="B63" s="464">
        <f>F54*1</f>
        <v>381.05749641690403</v>
      </c>
      <c r="C63" s="465">
        <f t="shared" ref="C63:C64" si="10">B63*($E$64+$E$66)/2</f>
        <v>25232.441321761435</v>
      </c>
      <c r="D63" s="3"/>
      <c r="E63" s="491" t="s">
        <v>400</v>
      </c>
      <c r="F63" s="6"/>
      <c r="G63" s="931"/>
    </row>
    <row r="64" spans="1:7" ht="16">
      <c r="A64" s="475" t="s">
        <v>415</v>
      </c>
      <c r="B64" s="467">
        <v>0</v>
      </c>
      <c r="C64" s="477">
        <f t="shared" si="10"/>
        <v>0</v>
      </c>
      <c r="D64" s="459"/>
      <c r="E64" s="499">
        <f>'OM COGS Yr 0-5'!D57</f>
        <v>86.349074740152844</v>
      </c>
      <c r="F64" s="6"/>
      <c r="G64" s="931"/>
    </row>
    <row r="65" spans="1:7" ht="16">
      <c r="A65" s="500" t="s">
        <v>381</v>
      </c>
      <c r="B65" s="470">
        <f>B63</f>
        <v>381.05749641690403</v>
      </c>
      <c r="C65" s="471">
        <f>SUM(C63:C64)</f>
        <v>25232.441321761435</v>
      </c>
      <c r="D65" s="3"/>
      <c r="E65" s="501" t="s">
        <v>422</v>
      </c>
      <c r="F65" s="6"/>
      <c r="G65" s="931"/>
    </row>
    <row r="66" spans="1:7" ht="18" thickTop="1" thickBot="1">
      <c r="A66" s="3"/>
      <c r="B66" s="3"/>
      <c r="C66" s="272"/>
      <c r="D66" s="3"/>
      <c r="E66" s="499">
        <f>'OM BOM EOQ Y0-Y5'!P32</f>
        <v>46.084700000000005</v>
      </c>
      <c r="F66" s="6"/>
      <c r="G66" s="931"/>
    </row>
    <row r="67" spans="1:7" ht="18" thickTop="1" thickBot="1">
      <c r="A67" s="133" t="s">
        <v>423</v>
      </c>
      <c r="B67" s="6"/>
      <c r="C67" s="272"/>
      <c r="D67" s="3"/>
      <c r="E67" s="472" t="s">
        <v>850</v>
      </c>
      <c r="F67" s="442" t="s">
        <v>408</v>
      </c>
      <c r="G67" s="931"/>
    </row>
    <row r="68" spans="1:7" ht="18" thickTop="1" thickBot="1">
      <c r="A68" s="461"/>
      <c r="B68" s="462" t="s">
        <v>424</v>
      </c>
      <c r="C68" s="502" t="s">
        <v>425</v>
      </c>
      <c r="D68" s="3"/>
      <c r="E68" s="823">
        <f>'OM BOM EOQ Y0-Y5'!I106</f>
        <v>14222.934871052954</v>
      </c>
      <c r="F68" s="451">
        <f>E68/52</f>
        <v>273.51797828947986</v>
      </c>
      <c r="G68" s="931"/>
    </row>
    <row r="69" spans="1:7" ht="17" thickTop="1">
      <c r="A69" s="422" t="s">
        <v>413</v>
      </c>
      <c r="B69" s="474">
        <f>F54/2</f>
        <v>190.52874820845201</v>
      </c>
      <c r="C69" s="503">
        <f t="shared" ref="C69:C71" si="11">B69*$E$64</f>
        <v>16451.981119199387</v>
      </c>
      <c r="D69" s="3"/>
      <c r="E69" s="6"/>
      <c r="F69" s="6"/>
      <c r="G69" s="931"/>
    </row>
    <row r="70" spans="1:7" ht="16">
      <c r="A70" s="422" t="s">
        <v>415</v>
      </c>
      <c r="B70" s="450">
        <f>E62*F56*SQRT(1)</f>
        <v>1051.4968744231837</v>
      </c>
      <c r="C70" s="503">
        <f t="shared" si="11"/>
        <v>90795.782198604604</v>
      </c>
      <c r="D70" s="3"/>
      <c r="E70" s="6"/>
      <c r="F70" s="6"/>
      <c r="G70" s="931"/>
    </row>
    <row r="71" spans="1:7" ht="16">
      <c r="A71" s="475" t="s">
        <v>426</v>
      </c>
      <c r="B71" s="476">
        <f>'OM Aggregate Hybrid Plan Y0-5'!C63/52</f>
        <v>19.727870081433608</v>
      </c>
      <c r="C71" s="504">
        <f t="shared" si="11"/>
        <v>1703.4833281257359</v>
      </c>
      <c r="D71" s="3"/>
      <c r="E71" s="6"/>
      <c r="F71" s="6"/>
      <c r="G71" s="931"/>
    </row>
    <row r="72" spans="1:7" ht="16">
      <c r="A72" s="478" t="s">
        <v>381</v>
      </c>
      <c r="B72" s="470">
        <f>SUM(B69:B71)</f>
        <v>1261.7534927130694</v>
      </c>
      <c r="C72" s="471">
        <f>SUM(C69:C71)</f>
        <v>108951.24664592973</v>
      </c>
      <c r="D72" s="3"/>
      <c r="E72" s="6"/>
      <c r="F72" s="6"/>
      <c r="G72" s="931"/>
    </row>
    <row r="73" spans="1:7" ht="13">
      <c r="E73" s="5"/>
      <c r="F73" s="5"/>
      <c r="G73" s="931"/>
    </row>
    <row r="74" spans="1:7" ht="15.75" customHeight="1">
      <c r="G74" s="931"/>
    </row>
    <row r="75" spans="1:7" ht="25">
      <c r="A75" s="2038" t="s">
        <v>430</v>
      </c>
      <c r="B75" s="2012"/>
      <c r="C75" s="1999"/>
      <c r="D75" s="459"/>
      <c r="E75" s="441" t="s">
        <v>407</v>
      </c>
      <c r="F75" s="442" t="s">
        <v>408</v>
      </c>
      <c r="G75" s="932"/>
    </row>
    <row r="76" spans="1:7" ht="16">
      <c r="D76" s="3"/>
      <c r="E76" s="490">
        <f>'OM PERT Model for Demand &amp; Lead'!B21</f>
        <v>15.555555555555555</v>
      </c>
      <c r="F76" s="456">
        <f>E76/7</f>
        <v>2.2222222222222223</v>
      </c>
      <c r="G76" s="931"/>
    </row>
    <row r="77" spans="1:7" ht="16">
      <c r="A77" s="133" t="s">
        <v>409</v>
      </c>
      <c r="B77" s="3"/>
      <c r="C77" s="3"/>
      <c r="D77" s="3"/>
      <c r="E77" s="491" t="s">
        <v>428</v>
      </c>
      <c r="F77" s="442" t="s">
        <v>408</v>
      </c>
      <c r="G77" s="931"/>
    </row>
    <row r="78" spans="1:7" ht="16">
      <c r="A78" s="444"/>
      <c r="B78" s="445" t="s">
        <v>411</v>
      </c>
      <c r="C78" s="446" t="s">
        <v>412</v>
      </c>
      <c r="D78" s="3"/>
      <c r="E78" s="492">
        <f>'OM PERT Model for Demand &amp; Lead'!D9</f>
        <v>47759.997535106093</v>
      </c>
      <c r="F78" s="447">
        <f>E78/52</f>
        <v>918.46149105973257</v>
      </c>
      <c r="G78" s="931"/>
    </row>
    <row r="79" spans="1:7" ht="16">
      <c r="A79" s="422" t="s">
        <v>413</v>
      </c>
      <c r="B79" s="450">
        <f>F92/2</f>
        <v>212.32009663905097</v>
      </c>
      <c r="C79" s="424">
        <f t="shared" ref="C79:C81" si="12">B79*$E$90</f>
        <v>8876.8484563627553</v>
      </c>
      <c r="D79" s="3"/>
      <c r="E79" s="491" t="s">
        <v>414</v>
      </c>
      <c r="F79" s="442" t="s">
        <v>408</v>
      </c>
      <c r="G79" s="931"/>
    </row>
    <row r="80" spans="1:7" ht="16">
      <c r="A80" s="422" t="s">
        <v>415</v>
      </c>
      <c r="B80" s="450">
        <f>E86*SQRT((F76)*(F80^2)+(F78^2)*(F82^2))</f>
        <v>4225.1249222164706</v>
      </c>
      <c r="C80" s="424">
        <f t="shared" si="12"/>
        <v>176647.402847964</v>
      </c>
      <c r="D80" s="3"/>
      <c r="E80" s="492">
        <f>'OM PERT Model for Demand &amp; Lead'!D10</f>
        <v>11021.537892716791</v>
      </c>
      <c r="F80" s="447">
        <f>E80/SQRT(52)</f>
        <v>1528.4123079484507</v>
      </c>
      <c r="G80" s="931"/>
    </row>
    <row r="81" spans="1:7" ht="16">
      <c r="A81" s="475" t="s">
        <v>416</v>
      </c>
      <c r="B81" s="487">
        <f>F76*F78</f>
        <v>2041.0255356882947</v>
      </c>
      <c r="C81" s="504">
        <f t="shared" si="12"/>
        <v>85332.828416484786</v>
      </c>
      <c r="D81" s="459"/>
      <c r="E81" s="491" t="s">
        <v>417</v>
      </c>
      <c r="F81" s="442" t="s">
        <v>408</v>
      </c>
      <c r="G81" s="931"/>
    </row>
    <row r="82" spans="1:7" ht="16">
      <c r="A82" s="452" t="s">
        <v>381</v>
      </c>
      <c r="B82" s="453">
        <f t="shared" ref="B82:C82" si="13">SUM(B79:B81)</f>
        <v>6478.4705545438164</v>
      </c>
      <c r="C82" s="505">
        <f t="shared" si="13"/>
        <v>270857.07972081157</v>
      </c>
      <c r="D82" s="459"/>
      <c r="E82" s="494">
        <f>'OM PERT Model for Demand &amp; Lead'!B22</f>
        <v>1.037037037037037</v>
      </c>
      <c r="F82" s="456">
        <f>E82/SQRT(7)</f>
        <v>0.39196315719475411</v>
      </c>
      <c r="G82" s="931"/>
    </row>
    <row r="83" spans="1:7" ht="16">
      <c r="A83" s="232" t="s">
        <v>418</v>
      </c>
      <c r="B83" s="457">
        <f>B82-B81</f>
        <v>4437.445018855522</v>
      </c>
      <c r="C83" s="458">
        <f>B83*E90</f>
        <v>185524.25130432678</v>
      </c>
      <c r="D83" s="3"/>
      <c r="E83" s="491" t="s">
        <v>398</v>
      </c>
      <c r="F83" s="6"/>
      <c r="G83" s="931"/>
    </row>
    <row r="84" spans="1:7" ht="16">
      <c r="A84" s="3"/>
      <c r="B84" s="459"/>
      <c r="C84" s="495"/>
      <c r="D84" s="3"/>
      <c r="E84" s="496">
        <f>'OM Service Level'!E11</f>
        <v>0.9665007636515317</v>
      </c>
      <c r="F84" s="6"/>
      <c r="G84" s="931"/>
    </row>
    <row r="85" spans="1:7" ht="16">
      <c r="A85" s="133" t="s">
        <v>419</v>
      </c>
      <c r="B85" s="3"/>
      <c r="C85" s="272"/>
      <c r="D85" s="3"/>
      <c r="E85" s="491" t="s">
        <v>404</v>
      </c>
      <c r="F85" s="6"/>
      <c r="G85" s="931"/>
    </row>
    <row r="86" spans="1:7" ht="16">
      <c r="A86" s="461"/>
      <c r="B86" s="462" t="s">
        <v>420</v>
      </c>
      <c r="C86" s="497" t="s">
        <v>421</v>
      </c>
      <c r="D86" s="3"/>
      <c r="E86" s="490">
        <f>_xlfn.NORM.S.INV(E84)</f>
        <v>1.8316842757004377</v>
      </c>
      <c r="F86" s="6"/>
      <c r="G86" s="931"/>
    </row>
    <row r="87" spans="1:7" ht="16">
      <c r="A87" s="422" t="s">
        <v>413</v>
      </c>
      <c r="B87" s="464">
        <f>F78*1</f>
        <v>918.46149105973257</v>
      </c>
      <c r="C87" s="465">
        <f t="shared" ref="C87:C88" si="14">B87*($E$88+$E$90)/2</f>
        <v>50794.159251360645</v>
      </c>
      <c r="D87" s="3"/>
      <c r="E87" s="491" t="s">
        <v>400</v>
      </c>
      <c r="F87" s="6"/>
      <c r="G87" s="931"/>
    </row>
    <row r="88" spans="1:7" ht="16">
      <c r="A88" s="475" t="s">
        <v>415</v>
      </c>
      <c r="B88" s="467">
        <v>0</v>
      </c>
      <c r="C88" s="504">
        <f t="shared" si="14"/>
        <v>0</v>
      </c>
      <c r="D88" s="459"/>
      <c r="E88" s="499">
        <f>'OM COGS Yr 0-5'!E57</f>
        <v>68.798252654442152</v>
      </c>
      <c r="F88" s="6"/>
      <c r="G88" s="931"/>
    </row>
    <row r="89" spans="1:7" ht="16">
      <c r="A89" s="478" t="s">
        <v>381</v>
      </c>
      <c r="B89" s="470">
        <f>B87</f>
        <v>918.46149105973257</v>
      </c>
      <c r="C89" s="471">
        <f>SUM(C87:C88)</f>
        <v>50794.159251360645</v>
      </c>
      <c r="D89" s="3"/>
      <c r="E89" s="472" t="s">
        <v>422</v>
      </c>
      <c r="F89" s="6"/>
      <c r="G89" s="931"/>
    </row>
    <row r="90" spans="1:7" ht="18" thickTop="1" thickBot="1">
      <c r="A90" s="3"/>
      <c r="B90" s="3"/>
      <c r="C90" s="272"/>
      <c r="D90" s="3"/>
      <c r="E90" s="499">
        <f>'OM BOM EOQ Y0-Y5'!P33</f>
        <v>41.808800000000005</v>
      </c>
      <c r="F90" s="6"/>
      <c r="G90" s="931"/>
    </row>
    <row r="91" spans="1:7" ht="18" thickTop="1" thickBot="1">
      <c r="A91" s="133" t="s">
        <v>423</v>
      </c>
      <c r="B91" s="3"/>
      <c r="C91" s="272"/>
      <c r="D91" s="3"/>
      <c r="E91" s="472" t="s">
        <v>850</v>
      </c>
      <c r="F91" s="442" t="s">
        <v>408</v>
      </c>
      <c r="G91" s="931"/>
    </row>
    <row r="92" spans="1:7" ht="18" thickTop="1" thickBot="1">
      <c r="A92" s="461"/>
      <c r="B92" s="462" t="s">
        <v>424</v>
      </c>
      <c r="C92" s="502" t="s">
        <v>425</v>
      </c>
      <c r="D92" s="3"/>
      <c r="E92" s="823">
        <f>'OM BOM EOQ Y0-Y5'!I133</f>
        <v>22081.290050461303</v>
      </c>
      <c r="F92" s="451">
        <f>E92/52</f>
        <v>424.64019327810195</v>
      </c>
      <c r="G92" s="931"/>
    </row>
    <row r="93" spans="1:7" ht="17" thickTop="1">
      <c r="A93" s="422" t="s">
        <v>413</v>
      </c>
      <c r="B93" s="474">
        <f>F78/2</f>
        <v>459.23074552986628</v>
      </c>
      <c r="C93" s="465">
        <f t="shared" ref="C93:C95" si="15">B93*$E$88</f>
        <v>31594.272857651573</v>
      </c>
      <c r="D93" s="3"/>
      <c r="E93" s="6"/>
      <c r="F93" s="6"/>
      <c r="G93" s="931"/>
    </row>
    <row r="94" spans="1:7" ht="16">
      <c r="A94" s="422" t="s">
        <v>415</v>
      </c>
      <c r="B94" s="450">
        <f>E86*F80*SQRT(1)</f>
        <v>2799.5687912561921</v>
      </c>
      <c r="C94" s="465">
        <f t="shared" si="15"/>
        <v>192605.44102433472</v>
      </c>
      <c r="D94" s="3"/>
      <c r="E94" s="6"/>
      <c r="F94" s="6"/>
      <c r="G94" s="931"/>
    </row>
    <row r="95" spans="1:7" ht="16">
      <c r="A95" s="475" t="s">
        <v>426</v>
      </c>
      <c r="B95" s="476">
        <f>'OM Aggregate Hybrid Plan Y0-5'!C89/52</f>
        <v>43.19294532860642</v>
      </c>
      <c r="C95" s="504">
        <f t="shared" si="15"/>
        <v>2971.5991656069714</v>
      </c>
      <c r="D95" s="3"/>
      <c r="E95" s="6"/>
      <c r="F95" s="6"/>
      <c r="G95" s="931"/>
    </row>
    <row r="96" spans="1:7" ht="16">
      <c r="A96" s="478" t="s">
        <v>381</v>
      </c>
      <c r="B96" s="470">
        <f>SUM(B93:B95)</f>
        <v>3301.9924821146651</v>
      </c>
      <c r="C96" s="471">
        <f>SUM(C93:C95)</f>
        <v>227171.31304759328</v>
      </c>
      <c r="E96" s="5"/>
      <c r="F96" s="5"/>
      <c r="G96" s="931"/>
    </row>
    <row r="97" spans="1:7" ht="16">
      <c r="E97" s="506"/>
      <c r="F97" s="506"/>
      <c r="G97" s="931"/>
    </row>
    <row r="98" spans="1:7" ht="15.75" customHeight="1">
      <c r="G98" s="931"/>
    </row>
    <row r="99" spans="1:7" ht="25">
      <c r="A99" s="2038" t="s">
        <v>431</v>
      </c>
      <c r="B99" s="2012"/>
      <c r="C99" s="1999"/>
      <c r="D99" s="440"/>
      <c r="E99" s="491" t="s">
        <v>407</v>
      </c>
      <c r="F99" s="507" t="s">
        <v>408</v>
      </c>
      <c r="G99" s="932"/>
    </row>
    <row r="100" spans="1:7" ht="16">
      <c r="D100" s="3"/>
      <c r="E100" s="490">
        <f>'OM PERT Model for Demand &amp; Lead'!K7</f>
        <v>15.555555555555554</v>
      </c>
      <c r="F100" s="498">
        <f>E100/7</f>
        <v>2.2222222222222219</v>
      </c>
      <c r="G100" s="931"/>
    </row>
    <row r="101" spans="1:7" ht="16">
      <c r="A101" s="133" t="s">
        <v>409</v>
      </c>
      <c r="B101" s="3"/>
      <c r="C101" s="3"/>
      <c r="D101" s="3"/>
      <c r="E101" s="491" t="s">
        <v>428</v>
      </c>
      <c r="F101" s="507" t="s">
        <v>408</v>
      </c>
      <c r="G101" s="931"/>
    </row>
    <row r="102" spans="1:7" ht="16">
      <c r="A102" s="444"/>
      <c r="B102" s="445" t="s">
        <v>411</v>
      </c>
      <c r="C102" s="446" t="s">
        <v>412</v>
      </c>
      <c r="D102" s="3"/>
      <c r="E102" s="490">
        <f>'OM PERT Model for Demand &amp; Lead'!E9</f>
        <v>60116.329258349404</v>
      </c>
      <c r="F102" s="492">
        <f>'OM PERT Model for Demand &amp; Lead'!E12</f>
        <v>1156.0832549682577</v>
      </c>
      <c r="G102" s="931"/>
    </row>
    <row r="103" spans="1:7" ht="16">
      <c r="A103" s="422" t="s">
        <v>413</v>
      </c>
      <c r="B103" s="450">
        <f>F116/2</f>
        <v>238.20736362292894</v>
      </c>
      <c r="C103" s="424">
        <f t="shared" ref="C103:C105" si="16">B103*$E$114</f>
        <v>9619.6470688665522</v>
      </c>
      <c r="D103" s="3"/>
      <c r="E103" s="491" t="s">
        <v>414</v>
      </c>
      <c r="F103" s="507" t="s">
        <v>408</v>
      </c>
      <c r="G103" s="931"/>
    </row>
    <row r="104" spans="1:7" ht="16">
      <c r="A104" s="422" t="s">
        <v>415</v>
      </c>
      <c r="B104" s="450">
        <f>E110*SQRT((F100)*(F104^2)+(F102^2)*(F106^2))</f>
        <v>5374.7126558346981</v>
      </c>
      <c r="C104" s="424">
        <f t="shared" si="16"/>
        <v>217049.70853690055</v>
      </c>
      <c r="D104" s="3"/>
      <c r="E104" s="490">
        <f>'OM PERT Model for Demand &amp; Lead'!E10</f>
        <v>13872.999059619093</v>
      </c>
      <c r="F104" s="492">
        <f>'OM PERT Model for Demand &amp; Lead'!E13</f>
        <v>1923.8388251507827</v>
      </c>
      <c r="G104" s="931"/>
    </row>
    <row r="105" spans="1:7" ht="16">
      <c r="A105" s="475" t="s">
        <v>416</v>
      </c>
      <c r="B105" s="487">
        <f>F100*F102</f>
        <v>2569.0738999294613</v>
      </c>
      <c r="C105" s="504">
        <f t="shared" si="16"/>
        <v>103748.19583780141</v>
      </c>
      <c r="D105" s="459"/>
      <c r="E105" s="491" t="s">
        <v>417</v>
      </c>
      <c r="F105" s="507" t="s">
        <v>408</v>
      </c>
      <c r="G105" s="931"/>
    </row>
    <row r="106" spans="1:7" ht="16">
      <c r="A106" s="452" t="s">
        <v>381</v>
      </c>
      <c r="B106" s="453">
        <f t="shared" ref="B106:C106" si="17">SUM(B103:B105)</f>
        <v>8181.9939193870887</v>
      </c>
      <c r="C106" s="454">
        <f t="shared" si="17"/>
        <v>330417.55144356855</v>
      </c>
      <c r="D106" s="459"/>
      <c r="E106" s="490">
        <f>'OM PERT Model for Demand &amp; Lead'!B22</f>
        <v>1.037037037037037</v>
      </c>
      <c r="F106" s="498">
        <f>E106/SQRT(7)</f>
        <v>0.39196315719475411</v>
      </c>
      <c r="G106" s="931"/>
    </row>
    <row r="107" spans="1:7" ht="16">
      <c r="A107" s="232" t="s">
        <v>418</v>
      </c>
      <c r="B107" s="457">
        <f>B106-B105</f>
        <v>5612.9200194576279</v>
      </c>
      <c r="C107" s="458">
        <f>B107*E114</f>
        <v>226669.35560576714</v>
      </c>
      <c r="D107" s="3"/>
      <c r="E107" s="508" t="s">
        <v>398</v>
      </c>
      <c r="F107" s="506"/>
      <c r="G107" s="931"/>
    </row>
    <row r="108" spans="1:7" ht="16">
      <c r="A108" s="3"/>
      <c r="B108" s="459"/>
      <c r="C108" s="495"/>
      <c r="D108" s="3"/>
      <c r="E108" s="509">
        <f>'OM Service Level'!F11</f>
        <v>0.96792495232739562</v>
      </c>
      <c r="F108" s="506"/>
      <c r="G108" s="931"/>
    </row>
    <row r="109" spans="1:7" ht="16">
      <c r="A109" s="133" t="s">
        <v>419</v>
      </c>
      <c r="B109" s="3"/>
      <c r="C109" s="3"/>
      <c r="D109" s="3"/>
      <c r="E109" s="508" t="s">
        <v>404</v>
      </c>
      <c r="F109" s="506"/>
      <c r="G109" s="931"/>
    </row>
    <row r="110" spans="1:7" ht="16">
      <c r="A110" s="461"/>
      <c r="B110" s="462" t="s">
        <v>420</v>
      </c>
      <c r="C110" s="497" t="s">
        <v>421</v>
      </c>
      <c r="D110" s="3"/>
      <c r="E110" s="510">
        <f>'OM Service Level'!F12</f>
        <v>1.8511352686720619</v>
      </c>
      <c r="F110" s="506"/>
      <c r="G110" s="931"/>
    </row>
    <row r="111" spans="1:7" ht="16">
      <c r="A111" s="422" t="s">
        <v>413</v>
      </c>
      <c r="B111" s="464">
        <f>F102*1</f>
        <v>1156.0832549682577</v>
      </c>
      <c r="C111" s="465">
        <f t="shared" ref="C111:C112" si="18">B111*($E$112+$E$114)/2</f>
        <v>60131.346135766085</v>
      </c>
      <c r="D111" s="3"/>
      <c r="E111" s="508" t="s">
        <v>400</v>
      </c>
      <c r="F111" s="506"/>
      <c r="G111" s="931"/>
    </row>
    <row r="112" spans="1:7" ht="16">
      <c r="A112" s="475" t="s">
        <v>415</v>
      </c>
      <c r="B112" s="467">
        <v>0</v>
      </c>
      <c r="C112" s="504">
        <f t="shared" si="18"/>
        <v>0</v>
      </c>
      <c r="D112" s="3"/>
      <c r="E112" s="511">
        <f>'OM COGS Yr 0-5'!F57</f>
        <v>63.642478885780321</v>
      </c>
      <c r="F112" s="506"/>
      <c r="G112" s="931"/>
    </row>
    <row r="113" spans="1:7" ht="16">
      <c r="A113" s="478" t="s">
        <v>381</v>
      </c>
      <c r="B113" s="470">
        <f>B111</f>
        <v>1156.0832549682577</v>
      </c>
      <c r="C113" s="471">
        <f>SUM(C111:C112)</f>
        <v>60131.346135766085</v>
      </c>
      <c r="D113" s="459"/>
      <c r="E113" s="472" t="s">
        <v>422</v>
      </c>
      <c r="F113" s="506"/>
      <c r="G113" s="931"/>
    </row>
    <row r="114" spans="1:7" ht="18" thickTop="1" thickBot="1">
      <c r="A114" s="3"/>
      <c r="B114" s="3"/>
      <c r="C114" s="272"/>
      <c r="D114" s="3"/>
      <c r="E114" s="499">
        <f>'OM BOM EOQ Y0-Y5'!P34</f>
        <v>40.383500000000005</v>
      </c>
      <c r="F114" s="506"/>
      <c r="G114" s="931"/>
    </row>
    <row r="115" spans="1:7" ht="18" thickTop="1" thickBot="1">
      <c r="A115" s="133" t="s">
        <v>423</v>
      </c>
      <c r="B115" s="6"/>
      <c r="C115" s="272"/>
      <c r="D115" s="3"/>
      <c r="E115" s="472" t="s">
        <v>850</v>
      </c>
      <c r="F115" s="442" t="s">
        <v>408</v>
      </c>
      <c r="G115" s="931"/>
    </row>
    <row r="116" spans="1:7" ht="18" thickTop="1" thickBot="1">
      <c r="A116" s="461"/>
      <c r="B116" s="462" t="s">
        <v>424</v>
      </c>
      <c r="C116" s="502" t="s">
        <v>425</v>
      </c>
      <c r="D116" s="3"/>
      <c r="E116" s="823">
        <f>'OM BOM EOQ Y0-Y5'!I160</f>
        <v>24773.565816784609</v>
      </c>
      <c r="F116" s="451">
        <f>E116/52</f>
        <v>476.41472724585788</v>
      </c>
      <c r="G116" s="931"/>
    </row>
    <row r="117" spans="1:7" ht="17" thickTop="1">
      <c r="A117" s="422" t="s">
        <v>413</v>
      </c>
      <c r="B117" s="474">
        <f>F102/2</f>
        <v>578.04162748412887</v>
      </c>
      <c r="C117" s="465">
        <f t="shared" ref="C117:C119" si="19">B117*$E$112</f>
        <v>36788.002072260766</v>
      </c>
      <c r="D117" s="3"/>
      <c r="E117" s="6"/>
      <c r="F117" s="6"/>
      <c r="G117" s="931"/>
    </row>
    <row r="118" spans="1:7" ht="16">
      <c r="A118" s="422" t="s">
        <v>415</v>
      </c>
      <c r="B118" s="450">
        <f>E110*F104*SQRT(1)</f>
        <v>3561.2859004772381</v>
      </c>
      <c r="C118" s="465">
        <f t="shared" si="19"/>
        <v>226649.06272734978</v>
      </c>
      <c r="D118" s="3"/>
      <c r="E118" s="6"/>
      <c r="F118" s="6"/>
      <c r="G118" s="931"/>
    </row>
    <row r="119" spans="1:7" ht="16">
      <c r="A119" s="475" t="s">
        <v>426</v>
      </c>
      <c r="B119" s="476">
        <f>'OM Aggregate Hybrid Plan Y0-5'!C114/52</f>
        <v>42.828583130222164</v>
      </c>
      <c r="C119" s="504">
        <f t="shared" si="19"/>
        <v>2725.7171975730512</v>
      </c>
      <c r="D119" s="3"/>
      <c r="E119" s="6"/>
      <c r="F119" s="6"/>
      <c r="G119" s="931"/>
    </row>
    <row r="120" spans="1:7" ht="16">
      <c r="A120" s="478" t="s">
        <v>381</v>
      </c>
      <c r="B120" s="470">
        <f>SUM(B117:B119)</f>
        <v>4182.1561110915891</v>
      </c>
      <c r="C120" s="471">
        <f>SUM(C117:C119)</f>
        <v>266162.78199718357</v>
      </c>
      <c r="D120" s="3"/>
      <c r="E120" s="506"/>
      <c r="F120" s="6"/>
      <c r="G120" s="931"/>
    </row>
    <row r="121" spans="1:7" ht="16">
      <c r="A121" s="3"/>
      <c r="B121" s="3"/>
      <c r="C121" s="3"/>
      <c r="D121" s="3"/>
      <c r="E121" s="506"/>
      <c r="F121" s="6"/>
      <c r="G121" s="931"/>
    </row>
    <row r="122" spans="1:7" ht="15.75" customHeight="1">
      <c r="G122" s="931"/>
    </row>
    <row r="123" spans="1:7" ht="25">
      <c r="A123" s="2038" t="s">
        <v>432</v>
      </c>
      <c r="B123" s="2012"/>
      <c r="C123" s="1999"/>
      <c r="D123" s="440"/>
      <c r="E123" s="491" t="s">
        <v>407</v>
      </c>
      <c r="F123" s="442" t="s">
        <v>408</v>
      </c>
      <c r="G123" s="932"/>
    </row>
    <row r="124" spans="1:7" ht="16">
      <c r="D124" s="275"/>
      <c r="E124" s="490">
        <f>'OM PERT Model for Demand &amp; Lead'!B21</f>
        <v>15.555555555555555</v>
      </c>
      <c r="F124" s="498">
        <f>E124/7</f>
        <v>2.2222222222222223</v>
      </c>
      <c r="G124" s="931"/>
    </row>
    <row r="125" spans="1:7" ht="16">
      <c r="A125" s="512" t="s">
        <v>409</v>
      </c>
      <c r="B125" s="275"/>
      <c r="C125" s="275"/>
      <c r="D125" s="275"/>
      <c r="E125" s="491" t="s">
        <v>428</v>
      </c>
      <c r="F125" s="507" t="s">
        <v>408</v>
      </c>
      <c r="G125" s="931"/>
    </row>
    <row r="126" spans="1:7" ht="16">
      <c r="A126" s="513"/>
      <c r="B126" s="514" t="s">
        <v>411</v>
      </c>
      <c r="C126" s="473" t="s">
        <v>412</v>
      </c>
      <c r="D126" s="275"/>
      <c r="E126" s="492">
        <f>'OM PERT Model for Demand &amp; Lead'!F9</f>
        <v>77332.749489761176</v>
      </c>
      <c r="F126" s="515">
        <f>'OM PERT Model for Demand &amp; Lead'!F12</f>
        <v>1487.1682594184842</v>
      </c>
      <c r="G126" s="931"/>
    </row>
    <row r="127" spans="1:7" ht="16">
      <c r="A127" s="516" t="s">
        <v>413</v>
      </c>
      <c r="B127" s="517">
        <f>F140/2</f>
        <v>270.17221355075833</v>
      </c>
      <c r="C127" s="518">
        <f t="shared" ref="C127:C129" si="20">B127*$E$138</f>
        <v>10525.423129953155</v>
      </c>
      <c r="D127" s="275"/>
      <c r="E127" s="491" t="s">
        <v>414</v>
      </c>
      <c r="F127" s="507" t="s">
        <v>408</v>
      </c>
      <c r="G127" s="931"/>
    </row>
    <row r="128" spans="1:7" ht="16">
      <c r="A128" s="516" t="s">
        <v>415</v>
      </c>
      <c r="B128" s="517">
        <f>E134*SQRT((F124)*(F128^2)+(F126^2)*(F130^2))</f>
        <v>7009.5058161603856</v>
      </c>
      <c r="C128" s="518">
        <f t="shared" si="20"/>
        <v>273077.72948713956</v>
      </c>
      <c r="D128" s="275"/>
      <c r="E128" s="492">
        <f>'OM PERT Model for Demand &amp; Lead'!F10</f>
        <v>17846.019113021812</v>
      </c>
      <c r="F128" s="519">
        <f>E128/SQRT(52)</f>
        <v>2474.7975759580972</v>
      </c>
      <c r="G128" s="931"/>
    </row>
    <row r="129" spans="1:7" ht="16">
      <c r="A129" s="520" t="s">
        <v>416</v>
      </c>
      <c r="B129" s="521">
        <f>F124*F126</f>
        <v>3304.8183542632983</v>
      </c>
      <c r="C129" s="522">
        <f t="shared" si="20"/>
        <v>128749.77440906044</v>
      </c>
      <c r="D129" s="523"/>
      <c r="E129" s="491" t="s">
        <v>417</v>
      </c>
      <c r="F129" s="507" t="s">
        <v>408</v>
      </c>
      <c r="G129" s="931"/>
    </row>
    <row r="130" spans="1:7" ht="16">
      <c r="A130" s="524" t="s">
        <v>381</v>
      </c>
      <c r="B130" s="525">
        <f t="shared" ref="B130:C130" si="21">SUM(B127:B129)</f>
        <v>10584.496383974441</v>
      </c>
      <c r="C130" s="526">
        <f t="shared" si="21"/>
        <v>412352.92702615313</v>
      </c>
      <c r="D130" s="523"/>
      <c r="E130" s="494">
        <f>'OM PERT Model for Demand &amp; Lead'!B22</f>
        <v>1.037037037037037</v>
      </c>
      <c r="F130" s="498">
        <f>E130/SQRT(7)</f>
        <v>0.39196315719475411</v>
      </c>
      <c r="G130" s="931"/>
    </row>
    <row r="131" spans="1:7" ht="16">
      <c r="A131" s="527" t="s">
        <v>418</v>
      </c>
      <c r="B131" s="528">
        <f>B130-B129</f>
        <v>7279.6780297111436</v>
      </c>
      <c r="C131" s="529">
        <f>B131*E138</f>
        <v>283603.15261709271</v>
      </c>
      <c r="D131" s="275"/>
      <c r="E131" s="491" t="s">
        <v>398</v>
      </c>
      <c r="F131" s="506"/>
      <c r="G131" s="931"/>
    </row>
    <row r="132" spans="1:7" ht="16">
      <c r="A132" s="275"/>
      <c r="B132" s="523"/>
      <c r="C132" s="530"/>
      <c r="D132" s="275"/>
      <c r="E132" s="496">
        <f>'OM Service Level'!G11</f>
        <v>0.96972170834260063</v>
      </c>
      <c r="F132" s="506"/>
      <c r="G132" s="931"/>
    </row>
    <row r="133" spans="1:7" ht="16">
      <c r="A133" s="512" t="s">
        <v>419</v>
      </c>
      <c r="B133" s="275"/>
      <c r="C133" s="275"/>
      <c r="D133" s="275"/>
      <c r="E133" s="491" t="s">
        <v>404</v>
      </c>
      <c r="F133" s="506"/>
      <c r="G133" s="931"/>
    </row>
    <row r="134" spans="1:7" ht="16">
      <c r="A134" s="531"/>
      <c r="B134" s="532" t="s">
        <v>420</v>
      </c>
      <c r="C134" s="502" t="s">
        <v>421</v>
      </c>
      <c r="D134" s="275"/>
      <c r="E134" s="490">
        <f>'OM Service Level'!G12</f>
        <v>1.8767192466310307</v>
      </c>
      <c r="F134" s="506"/>
      <c r="G134" s="931"/>
    </row>
    <row r="135" spans="1:7" ht="16">
      <c r="A135" s="516" t="s">
        <v>413</v>
      </c>
      <c r="B135" s="533">
        <f>F126*1</f>
        <v>1487.1682594184842</v>
      </c>
      <c r="C135" s="534">
        <f t="shared" ref="C135:C136" si="22">B135*($E$136+$E$138)/2</f>
        <v>73028.609785683337</v>
      </c>
      <c r="D135" s="275"/>
      <c r="E135" s="491" t="s">
        <v>400</v>
      </c>
      <c r="F135" s="506"/>
      <c r="G135" s="931"/>
    </row>
    <row r="136" spans="1:7" ht="16">
      <c r="A136" s="520" t="s">
        <v>415</v>
      </c>
      <c r="B136" s="535">
        <v>0</v>
      </c>
      <c r="C136" s="522">
        <f t="shared" si="22"/>
        <v>0</v>
      </c>
      <c r="D136" s="523"/>
      <c r="E136" s="499">
        <f>'OM COGS Yr 0-5'!G57</f>
        <v>59.253430490606547</v>
      </c>
      <c r="F136" s="506"/>
      <c r="G136" s="931"/>
    </row>
    <row r="137" spans="1:7" ht="16">
      <c r="A137" s="536" t="s">
        <v>381</v>
      </c>
      <c r="B137" s="537">
        <f>B135</f>
        <v>1487.1682594184842</v>
      </c>
      <c r="C137" s="538">
        <f>SUM(C135:C136)</f>
        <v>73028.609785683337</v>
      </c>
      <c r="D137" s="275"/>
      <c r="E137" s="472" t="s">
        <v>422</v>
      </c>
      <c r="F137" s="506"/>
      <c r="G137" s="931"/>
    </row>
    <row r="138" spans="1:7" ht="18" thickTop="1" thickBot="1">
      <c r="A138" s="275"/>
      <c r="B138" s="275"/>
      <c r="C138" s="539"/>
      <c r="D138" s="275"/>
      <c r="E138" s="499">
        <f>'OM BOM EOQ Y0-Y5'!P35</f>
        <v>38.958200000000005</v>
      </c>
      <c r="F138" s="506"/>
      <c r="G138" s="931"/>
    </row>
    <row r="139" spans="1:7" ht="18" thickTop="1" thickBot="1">
      <c r="A139" s="512" t="s">
        <v>423</v>
      </c>
      <c r="B139" s="506"/>
      <c r="C139" s="539"/>
      <c r="D139" s="275"/>
      <c r="E139" s="472" t="s">
        <v>850</v>
      </c>
      <c r="F139" s="442" t="s">
        <v>408</v>
      </c>
      <c r="G139" s="931"/>
    </row>
    <row r="140" spans="1:7" ht="18" thickTop="1" thickBot="1">
      <c r="A140" s="531"/>
      <c r="B140" s="532" t="s">
        <v>424</v>
      </c>
      <c r="C140" s="502" t="s">
        <v>425</v>
      </c>
      <c r="D140" s="275"/>
      <c r="E140" s="823">
        <f>'OM BOM EOQ Y0-Y5'!I187</f>
        <v>28097.910209278867</v>
      </c>
      <c r="F140" s="451">
        <f>E140/52</f>
        <v>540.34442710151666</v>
      </c>
      <c r="G140" s="931"/>
    </row>
    <row r="141" spans="1:7" ht="17" thickTop="1">
      <c r="A141" s="516" t="s">
        <v>413</v>
      </c>
      <c r="B141" s="517">
        <f>F126/2</f>
        <v>743.58412970924212</v>
      </c>
      <c r="C141" s="534">
        <f t="shared" ref="C141:C142" si="23">B141*$E$136</f>
        <v>44059.910543644743</v>
      </c>
      <c r="D141" s="275"/>
      <c r="E141" s="506"/>
      <c r="F141" s="506"/>
      <c r="G141" s="931"/>
    </row>
    <row r="142" spans="1:7" ht="16">
      <c r="A142" s="516" t="s">
        <v>415</v>
      </c>
      <c r="B142" s="517">
        <f>E134*F128*SQRT(1)</f>
        <v>4644.5002423163814</v>
      </c>
      <c r="C142" s="534">
        <f t="shared" si="23"/>
        <v>275202.57227169897</v>
      </c>
      <c r="D142" s="275"/>
      <c r="E142" s="506"/>
      <c r="F142" s="506"/>
      <c r="G142" s="931"/>
    </row>
    <row r="143" spans="1:7" ht="16">
      <c r="A143" s="520" t="s">
        <v>426</v>
      </c>
      <c r="B143" s="540">
        <f>'OM Aggregate Hybrid Plan Y0-5'!C139/52</f>
        <v>54.004565033967808</v>
      </c>
      <c r="C143" s="522">
        <f>B143*$E$136</f>
        <v>3199.9557404156521</v>
      </c>
      <c r="D143" s="275"/>
      <c r="E143" s="506"/>
      <c r="F143" s="506"/>
      <c r="G143" s="931"/>
    </row>
    <row r="144" spans="1:7" ht="16">
      <c r="A144" s="536" t="s">
        <v>381</v>
      </c>
      <c r="B144" s="537">
        <f>SUM(B141:B143)</f>
        <v>5442.0889370595914</v>
      </c>
      <c r="C144" s="538">
        <f>SUM(C141:C143)</f>
        <v>322462.43855575938</v>
      </c>
      <c r="D144" s="275"/>
      <c r="E144" s="506"/>
      <c r="F144" s="506"/>
      <c r="G144" s="931"/>
    </row>
    <row r="145" spans="1:10" ht="13">
      <c r="E145" s="5"/>
      <c r="F145" s="5"/>
      <c r="G145" s="931"/>
    </row>
    <row r="146" spans="1:10" ht="13">
      <c r="E146" s="5"/>
      <c r="F146" s="5"/>
      <c r="G146" s="931"/>
    </row>
    <row r="147" spans="1:10" ht="13">
      <c r="E147" s="5"/>
      <c r="F147" s="5"/>
      <c r="G147" s="931"/>
    </row>
    <row r="148" spans="1:10" ht="13">
      <c r="B148" s="707" t="s">
        <v>415</v>
      </c>
      <c r="C148" s="707" t="s">
        <v>413</v>
      </c>
      <c r="E148" s="5" t="s">
        <v>415</v>
      </c>
      <c r="F148" s="5" t="s">
        <v>1208</v>
      </c>
      <c r="I148" s="707" t="s">
        <v>1209</v>
      </c>
      <c r="J148" t="s">
        <v>1208</v>
      </c>
    </row>
    <row r="149" spans="1:10" ht="13">
      <c r="A149">
        <v>1</v>
      </c>
      <c r="B149" s="2102">
        <f>B32+B40+B46</f>
        <v>1552.8426036251399</v>
      </c>
      <c r="C149" s="2102">
        <f>B31+B39+B45</f>
        <v>514.00718184874063</v>
      </c>
      <c r="D149" s="1942">
        <v>1</v>
      </c>
      <c r="E149" s="830">
        <f>B149</f>
        <v>1552.8426036251399</v>
      </c>
      <c r="F149" s="830">
        <f>'MK Bases Model (Base Case)'!B16</f>
        <v>12788.862937661439</v>
      </c>
      <c r="H149">
        <v>1</v>
      </c>
      <c r="I149" s="2102">
        <f>'OM Capacity Planning'!C12</f>
        <v>13440</v>
      </c>
      <c r="J149" s="2102">
        <v>12788.862937661439</v>
      </c>
    </row>
    <row r="150" spans="1:10" ht="13">
      <c r="A150">
        <v>2</v>
      </c>
      <c r="B150" s="2102">
        <f>B56+B64+B70</f>
        <v>2638.4218550251549</v>
      </c>
      <c r="C150" s="2102">
        <f>B55+B63+B69</f>
        <v>708.345233770096</v>
      </c>
      <c r="D150" s="1942">
        <v>2</v>
      </c>
      <c r="E150" s="830">
        <f>B150</f>
        <v>2638.4218550251549</v>
      </c>
      <c r="F150" s="830">
        <f>'MK Bases Model (Base Case)'!C16</f>
        <v>18290.759828011393</v>
      </c>
      <c r="H150">
        <v>2</v>
      </c>
      <c r="I150" s="2102">
        <f>'OM Capacity Planning'!D12</f>
        <v>21120</v>
      </c>
      <c r="J150" s="2102">
        <v>18290.759828011393</v>
      </c>
    </row>
    <row r="151" spans="1:10" ht="13">
      <c r="A151">
        <v>3</v>
      </c>
      <c r="B151" s="2102">
        <f>B80+B88+B94</f>
        <v>7024.6937134726631</v>
      </c>
      <c r="C151" s="2102">
        <f>B79+B87+B93</f>
        <v>1590.0123332286498</v>
      </c>
      <c r="D151" s="1942">
        <v>3</v>
      </c>
      <c r="E151" s="830">
        <f>B151</f>
        <v>7024.6937134726631</v>
      </c>
      <c r="F151" s="830">
        <f>'MK Bases Model (Base Case)'!D16</f>
        <v>44086.151570867165</v>
      </c>
      <c r="H151">
        <v>3</v>
      </c>
      <c r="I151" s="2102">
        <f>'OM Capacity Planning'!E12</f>
        <v>44160</v>
      </c>
      <c r="J151" s="2102">
        <v>44086.151570867165</v>
      </c>
    </row>
    <row r="152" spans="1:10" ht="13">
      <c r="A152">
        <v>4</v>
      </c>
      <c r="B152" s="2102">
        <f>B104+B112+B118</f>
        <v>8935.9985563119371</v>
      </c>
      <c r="C152" s="2102">
        <f>B103+B111+B117</f>
        <v>1972.3322460753154</v>
      </c>
      <c r="D152" s="1942">
        <v>4</v>
      </c>
      <c r="E152" s="830">
        <f>B152</f>
        <v>8935.9985563119371</v>
      </c>
      <c r="F152" s="830">
        <f>'MK Bases Model (Base Case)'!E16</f>
        <v>55491.996238476371</v>
      </c>
      <c r="H152">
        <v>4</v>
      </c>
      <c r="I152" s="2102">
        <f>'OM Capacity Planning'!F12</f>
        <v>57600</v>
      </c>
      <c r="J152" s="2102">
        <v>55491.996238476371</v>
      </c>
    </row>
    <row r="153" spans="1:10" ht="13">
      <c r="A153">
        <v>5</v>
      </c>
      <c r="B153" s="2102">
        <f>B128+B136+B142</f>
        <v>11654.006058476767</v>
      </c>
      <c r="C153" s="2102">
        <f>B127+B135+B141</f>
        <v>2500.9246026784845</v>
      </c>
      <c r="D153" s="1942">
        <v>5</v>
      </c>
      <c r="E153" s="830">
        <f>B153</f>
        <v>11654.006058476767</v>
      </c>
      <c r="F153" s="830">
        <f>'MK Bases Model (Base Case)'!F16</f>
        <v>71384.076452087247</v>
      </c>
      <c r="H153">
        <v>5</v>
      </c>
      <c r="I153" s="2102">
        <f>'OM Capacity Planning'!G12</f>
        <v>71040</v>
      </c>
      <c r="J153" s="2102">
        <v>71384.076452087247</v>
      </c>
    </row>
    <row r="154" spans="1:10" ht="13">
      <c r="G154" s="931"/>
    </row>
    <row r="155" spans="1:10" ht="13">
      <c r="E155" s="5"/>
      <c r="F155" s="5"/>
      <c r="G155" s="931"/>
    </row>
    <row r="156" spans="1:10" ht="13">
      <c r="E156" s="5"/>
      <c r="F156" s="5"/>
      <c r="G156" s="931"/>
    </row>
    <row r="157" spans="1:10" ht="13">
      <c r="F157" s="5"/>
      <c r="G157" s="931"/>
    </row>
    <row r="158" spans="1:10" ht="13">
      <c r="F158" s="5"/>
      <c r="G158" s="931"/>
    </row>
    <row r="159" spans="1:10" ht="13">
      <c r="F159" s="5"/>
      <c r="G159" s="931"/>
    </row>
    <row r="160" spans="1:10" ht="13">
      <c r="F160" s="5"/>
      <c r="G160" s="931"/>
    </row>
    <row r="161" spans="5:7" ht="13">
      <c r="F161" s="5"/>
      <c r="G161" s="931"/>
    </row>
    <row r="162" spans="5:7" ht="13">
      <c r="F162" s="5"/>
      <c r="G162" s="931"/>
    </row>
    <row r="163" spans="5:7" ht="13">
      <c r="E163" s="5"/>
      <c r="F163" s="5"/>
      <c r="G163" s="931"/>
    </row>
    <row r="164" spans="5:7" ht="13">
      <c r="E164" s="5"/>
      <c r="F164" s="5"/>
      <c r="G164" s="931"/>
    </row>
    <row r="165" spans="5:7" ht="13">
      <c r="E165" s="5"/>
      <c r="F165" s="5"/>
      <c r="G165" s="931"/>
    </row>
    <row r="166" spans="5:7" ht="13">
      <c r="E166" s="5"/>
      <c r="F166" s="5"/>
      <c r="G166" s="931"/>
    </row>
    <row r="167" spans="5:7" ht="13">
      <c r="E167" s="5"/>
      <c r="F167" s="5"/>
      <c r="G167" s="931"/>
    </row>
    <row r="168" spans="5:7" ht="13">
      <c r="E168" s="5"/>
      <c r="F168" s="5"/>
      <c r="G168" s="931"/>
    </row>
    <row r="169" spans="5:7" ht="13">
      <c r="E169" s="5"/>
      <c r="F169" s="5"/>
      <c r="G169" s="931"/>
    </row>
    <row r="170" spans="5:7" ht="13">
      <c r="E170" s="5"/>
      <c r="F170" s="5"/>
      <c r="G170" s="931"/>
    </row>
    <row r="171" spans="5:7" ht="13">
      <c r="E171" s="5"/>
      <c r="F171" s="5"/>
      <c r="G171" s="931"/>
    </row>
    <row r="172" spans="5:7" ht="13">
      <c r="E172" s="5"/>
      <c r="F172" s="5"/>
      <c r="G172" s="931"/>
    </row>
    <row r="173" spans="5:7" ht="13">
      <c r="E173" s="5"/>
      <c r="F173" s="5"/>
      <c r="G173" s="931"/>
    </row>
    <row r="174" spans="5:7" ht="13">
      <c r="E174" s="5"/>
      <c r="F174" s="5"/>
      <c r="G174" s="931"/>
    </row>
    <row r="175" spans="5:7" ht="13">
      <c r="E175" s="5"/>
      <c r="F175" s="5"/>
      <c r="G175" s="931"/>
    </row>
    <row r="176" spans="5:7" ht="13">
      <c r="E176" s="5"/>
      <c r="F176" s="5"/>
      <c r="G176" s="931"/>
    </row>
    <row r="177" spans="5:7" ht="13">
      <c r="E177" s="5"/>
      <c r="F177" s="5"/>
      <c r="G177" s="931"/>
    </row>
    <row r="178" spans="5:7" ht="13">
      <c r="E178" s="5"/>
      <c r="F178" s="5"/>
      <c r="G178" s="931"/>
    </row>
    <row r="179" spans="5:7" ht="13">
      <c r="E179" s="5"/>
      <c r="F179" s="5"/>
      <c r="G179" s="931"/>
    </row>
    <row r="180" spans="5:7" ht="13">
      <c r="E180" s="5"/>
      <c r="F180" s="5"/>
      <c r="G180" s="931"/>
    </row>
    <row r="181" spans="5:7" ht="13">
      <c r="E181" s="5"/>
      <c r="F181" s="5"/>
      <c r="G181" s="931"/>
    </row>
    <row r="182" spans="5:7" ht="13">
      <c r="E182" s="5"/>
      <c r="F182" s="5"/>
      <c r="G182" s="931"/>
    </row>
    <row r="183" spans="5:7" ht="13">
      <c r="E183" s="5"/>
      <c r="F183" s="5"/>
      <c r="G183" s="931"/>
    </row>
    <row r="184" spans="5:7" ht="13">
      <c r="E184" s="5"/>
      <c r="F184" s="5"/>
      <c r="G184" s="931"/>
    </row>
    <row r="185" spans="5:7" ht="13">
      <c r="E185" s="5"/>
      <c r="F185" s="5"/>
      <c r="G185" s="931"/>
    </row>
    <row r="186" spans="5:7" ht="13">
      <c r="E186" s="5"/>
      <c r="F186" s="5"/>
      <c r="G186" s="931"/>
    </row>
    <row r="187" spans="5:7" ht="13">
      <c r="E187" s="5"/>
      <c r="F187" s="5"/>
      <c r="G187" s="931"/>
    </row>
    <row r="188" spans="5:7" ht="13">
      <c r="E188" s="5"/>
      <c r="F188" s="5"/>
      <c r="G188" s="931"/>
    </row>
    <row r="189" spans="5:7" ht="13">
      <c r="E189" s="5"/>
      <c r="F189" s="5"/>
      <c r="G189" s="931"/>
    </row>
    <row r="190" spans="5:7" ht="13">
      <c r="E190" s="5"/>
      <c r="F190" s="5"/>
      <c r="G190" s="931"/>
    </row>
    <row r="191" spans="5:7" ht="13">
      <c r="E191" s="5"/>
      <c r="F191" s="5"/>
      <c r="G191" s="931"/>
    </row>
    <row r="192" spans="5:7" ht="13">
      <c r="E192" s="5"/>
      <c r="F192" s="5"/>
    </row>
    <row r="193" spans="5:6" ht="13">
      <c r="E193" s="5"/>
      <c r="F193" s="5"/>
    </row>
    <row r="194" spans="5:6" ht="13">
      <c r="E194" s="5"/>
      <c r="F194" s="5"/>
    </row>
    <row r="195" spans="5:6" ht="13">
      <c r="E195" s="5"/>
      <c r="F195" s="5"/>
    </row>
    <row r="196" spans="5:6" ht="13">
      <c r="E196" s="5"/>
      <c r="F196" s="5"/>
    </row>
    <row r="197" spans="5:6" ht="13">
      <c r="E197" s="5"/>
      <c r="F197" s="5"/>
    </row>
    <row r="198" spans="5:6" ht="13">
      <c r="E198" s="5"/>
      <c r="F198" s="5"/>
    </row>
    <row r="199" spans="5:6" ht="13">
      <c r="E199" s="5"/>
      <c r="F199" s="5"/>
    </row>
    <row r="200" spans="5:6" ht="13">
      <c r="E200" s="5"/>
      <c r="F200" s="5"/>
    </row>
    <row r="201" spans="5:6" ht="13">
      <c r="E201" s="5"/>
      <c r="F201" s="5"/>
    </row>
    <row r="202" spans="5:6" ht="13">
      <c r="E202" s="5"/>
      <c r="F202" s="5"/>
    </row>
    <row r="203" spans="5:6" ht="13">
      <c r="E203" s="5"/>
      <c r="F203" s="5"/>
    </row>
    <row r="204" spans="5:6" ht="13">
      <c r="E204" s="5"/>
      <c r="F204" s="5"/>
    </row>
    <row r="205" spans="5:6" ht="13">
      <c r="E205" s="5"/>
      <c r="F205" s="5"/>
    </row>
    <row r="206" spans="5:6" ht="13">
      <c r="E206" s="5"/>
      <c r="F206" s="5"/>
    </row>
    <row r="207" spans="5:6" ht="13">
      <c r="E207" s="5"/>
      <c r="F207" s="5"/>
    </row>
    <row r="208" spans="5:6" ht="13">
      <c r="E208" s="5"/>
      <c r="F208" s="5"/>
    </row>
    <row r="209" spans="5:6" ht="13">
      <c r="E209" s="5"/>
      <c r="F209" s="5"/>
    </row>
    <row r="210" spans="5:6" ht="13">
      <c r="E210" s="5"/>
      <c r="F210" s="5"/>
    </row>
    <row r="211" spans="5:6" ht="13">
      <c r="E211" s="5"/>
      <c r="F211" s="5"/>
    </row>
    <row r="212" spans="5:6" ht="13">
      <c r="E212" s="5"/>
      <c r="F212" s="5"/>
    </row>
    <row r="213" spans="5:6" ht="13">
      <c r="E213" s="5"/>
      <c r="F213" s="5"/>
    </row>
    <row r="214" spans="5:6" ht="13">
      <c r="E214" s="5"/>
      <c r="F214" s="5"/>
    </row>
    <row r="215" spans="5:6" ht="13">
      <c r="E215" s="5"/>
      <c r="F215" s="5"/>
    </row>
    <row r="216" spans="5:6" ht="13">
      <c r="E216" s="5"/>
      <c r="F216" s="5"/>
    </row>
    <row r="217" spans="5:6" ht="13">
      <c r="E217" s="5"/>
      <c r="F217" s="5"/>
    </row>
    <row r="218" spans="5:6" ht="13">
      <c r="E218" s="5"/>
      <c r="F218" s="5"/>
    </row>
    <row r="219" spans="5:6" ht="13">
      <c r="E219" s="5"/>
      <c r="F219" s="5"/>
    </row>
    <row r="220" spans="5:6" ht="13">
      <c r="E220" s="5"/>
      <c r="F220" s="5"/>
    </row>
    <row r="221" spans="5:6" ht="13">
      <c r="E221" s="5"/>
      <c r="F221" s="5"/>
    </row>
    <row r="222" spans="5:6" ht="13">
      <c r="E222" s="5"/>
      <c r="F222" s="5"/>
    </row>
    <row r="223" spans="5:6" ht="13">
      <c r="E223" s="5"/>
      <c r="F223" s="5"/>
    </row>
    <row r="224" spans="5:6" ht="13">
      <c r="E224" s="5"/>
      <c r="F224" s="5"/>
    </row>
    <row r="225" spans="5:6" ht="13">
      <c r="E225" s="5"/>
      <c r="F225" s="5"/>
    </row>
    <row r="226" spans="5:6" ht="13">
      <c r="E226" s="5"/>
      <c r="F226" s="5"/>
    </row>
    <row r="227" spans="5:6" ht="13">
      <c r="E227" s="5"/>
      <c r="F227" s="5"/>
    </row>
    <row r="228" spans="5:6" ht="13">
      <c r="E228" s="5"/>
      <c r="F228" s="5"/>
    </row>
    <row r="229" spans="5:6" ht="13">
      <c r="E229" s="5"/>
      <c r="F229" s="5"/>
    </row>
    <row r="230" spans="5:6" ht="13">
      <c r="E230" s="5"/>
      <c r="F230" s="5"/>
    </row>
    <row r="231" spans="5:6" ht="13">
      <c r="E231" s="5"/>
      <c r="F231" s="5"/>
    </row>
    <row r="232" spans="5:6" ht="13">
      <c r="E232" s="5"/>
      <c r="F232" s="5"/>
    </row>
    <row r="233" spans="5:6" ht="13">
      <c r="E233" s="5"/>
      <c r="F233" s="5"/>
    </row>
    <row r="234" spans="5:6" ht="13">
      <c r="E234" s="5"/>
      <c r="F234" s="5"/>
    </row>
    <row r="235" spans="5:6" ht="13">
      <c r="E235" s="5"/>
      <c r="F235" s="5"/>
    </row>
    <row r="236" spans="5:6" ht="13">
      <c r="E236" s="5"/>
      <c r="F236" s="5"/>
    </row>
    <row r="237" spans="5:6" ht="13">
      <c r="E237" s="5"/>
      <c r="F237" s="5"/>
    </row>
    <row r="238" spans="5:6" ht="13">
      <c r="E238" s="5"/>
      <c r="F238" s="5"/>
    </row>
    <row r="239" spans="5:6" ht="13">
      <c r="E239" s="5"/>
      <c r="F239" s="5"/>
    </row>
    <row r="240" spans="5:6" ht="13">
      <c r="E240" s="5"/>
      <c r="F240" s="5"/>
    </row>
    <row r="241" spans="5:6" ht="13">
      <c r="E241" s="5"/>
      <c r="F241" s="5"/>
    </row>
    <row r="242" spans="5:6" ht="13">
      <c r="E242" s="5"/>
      <c r="F242" s="5"/>
    </row>
    <row r="243" spans="5:6" ht="13">
      <c r="E243" s="5"/>
      <c r="F243" s="5"/>
    </row>
    <row r="244" spans="5:6" ht="13">
      <c r="E244" s="5"/>
      <c r="F244" s="5"/>
    </row>
    <row r="245" spans="5:6" ht="13">
      <c r="E245" s="5"/>
      <c r="F245" s="5"/>
    </row>
    <row r="246" spans="5:6" ht="13">
      <c r="E246" s="5"/>
      <c r="F246" s="5"/>
    </row>
    <row r="247" spans="5:6" ht="13">
      <c r="E247" s="5"/>
      <c r="F247" s="5"/>
    </row>
    <row r="248" spans="5:6" ht="13">
      <c r="E248" s="5"/>
      <c r="F248" s="5"/>
    </row>
    <row r="249" spans="5:6" ht="13">
      <c r="E249" s="5"/>
      <c r="F249" s="5"/>
    </row>
    <row r="250" spans="5:6" ht="13">
      <c r="E250" s="5"/>
      <c r="F250" s="5"/>
    </row>
    <row r="251" spans="5:6" ht="13">
      <c r="E251" s="5"/>
      <c r="F251" s="5"/>
    </row>
    <row r="252" spans="5:6" ht="13">
      <c r="E252" s="5"/>
      <c r="F252" s="5"/>
    </row>
    <row r="253" spans="5:6" ht="13">
      <c r="E253" s="5"/>
      <c r="F253" s="5"/>
    </row>
    <row r="254" spans="5:6" ht="13">
      <c r="E254" s="5"/>
      <c r="F254" s="5"/>
    </row>
    <row r="255" spans="5:6" ht="13">
      <c r="E255" s="5"/>
      <c r="F255" s="5"/>
    </row>
    <row r="256" spans="5:6" ht="13">
      <c r="E256" s="5"/>
      <c r="F256" s="5"/>
    </row>
    <row r="257" spans="5:6" ht="13">
      <c r="E257" s="5"/>
      <c r="F257" s="5"/>
    </row>
    <row r="258" spans="5:6" ht="13">
      <c r="E258" s="5"/>
      <c r="F258" s="5"/>
    </row>
    <row r="259" spans="5:6" ht="13">
      <c r="E259" s="5"/>
      <c r="F259" s="5"/>
    </row>
    <row r="260" spans="5:6" ht="13">
      <c r="E260" s="5"/>
      <c r="F260" s="5"/>
    </row>
    <row r="261" spans="5:6" ht="13">
      <c r="E261" s="5"/>
      <c r="F261" s="5"/>
    </row>
    <row r="262" spans="5:6" ht="13">
      <c r="E262" s="5"/>
      <c r="F262" s="5"/>
    </row>
    <row r="263" spans="5:6" ht="13">
      <c r="E263" s="5"/>
      <c r="F263" s="5"/>
    </row>
    <row r="264" spans="5:6" ht="13">
      <c r="E264" s="5"/>
      <c r="F264" s="5"/>
    </row>
    <row r="265" spans="5:6" ht="13">
      <c r="E265" s="5"/>
      <c r="F265" s="5"/>
    </row>
    <row r="266" spans="5:6" ht="13">
      <c r="E266" s="5"/>
      <c r="F266" s="5"/>
    </row>
    <row r="267" spans="5:6" ht="13">
      <c r="E267" s="5"/>
      <c r="F267" s="5"/>
    </row>
    <row r="268" spans="5:6" ht="13">
      <c r="E268" s="5"/>
      <c r="F268" s="5"/>
    </row>
    <row r="269" spans="5:6" ht="13">
      <c r="E269" s="5"/>
      <c r="F269" s="5"/>
    </row>
    <row r="270" spans="5:6" ht="13">
      <c r="E270" s="5"/>
      <c r="F270" s="5"/>
    </row>
    <row r="271" spans="5:6" ht="13">
      <c r="E271" s="5"/>
      <c r="F271" s="5"/>
    </row>
    <row r="272" spans="5:6" ht="13">
      <c r="E272" s="5"/>
      <c r="F272" s="5"/>
    </row>
    <row r="273" spans="5:6" ht="13">
      <c r="E273" s="5"/>
      <c r="F273" s="5"/>
    </row>
    <row r="274" spans="5:6" ht="13">
      <c r="E274" s="5"/>
      <c r="F274" s="5"/>
    </row>
    <row r="275" spans="5:6" ht="13">
      <c r="E275" s="5"/>
      <c r="F275" s="5"/>
    </row>
    <row r="276" spans="5:6" ht="13">
      <c r="E276" s="5"/>
      <c r="F276" s="5"/>
    </row>
    <row r="277" spans="5:6" ht="13">
      <c r="E277" s="5"/>
      <c r="F277" s="5"/>
    </row>
    <row r="278" spans="5:6" ht="13">
      <c r="E278" s="5"/>
      <c r="F278" s="5"/>
    </row>
    <row r="279" spans="5:6" ht="13">
      <c r="E279" s="5"/>
      <c r="F279" s="5"/>
    </row>
    <row r="280" spans="5:6" ht="13">
      <c r="E280" s="5"/>
      <c r="F280" s="5"/>
    </row>
    <row r="281" spans="5:6" ht="13">
      <c r="E281" s="5"/>
      <c r="F281" s="5"/>
    </row>
    <row r="282" spans="5:6" ht="13">
      <c r="E282" s="5"/>
      <c r="F282" s="5"/>
    </row>
    <row r="283" spans="5:6" ht="13">
      <c r="E283" s="5"/>
      <c r="F283" s="5"/>
    </row>
    <row r="284" spans="5:6" ht="13">
      <c r="E284" s="5"/>
      <c r="F284" s="5"/>
    </row>
    <row r="285" spans="5:6" ht="13">
      <c r="E285" s="5"/>
      <c r="F285" s="5"/>
    </row>
    <row r="286" spans="5:6" ht="13">
      <c r="E286" s="5"/>
      <c r="F286" s="5"/>
    </row>
    <row r="287" spans="5:6" ht="13">
      <c r="E287" s="5"/>
      <c r="F287" s="5"/>
    </row>
    <row r="288" spans="5:6" ht="13">
      <c r="E288" s="5"/>
      <c r="F288" s="5"/>
    </row>
    <row r="289" spans="5:6" ht="13">
      <c r="E289" s="5"/>
      <c r="F289" s="5"/>
    </row>
    <row r="290" spans="5:6" ht="13">
      <c r="E290" s="5"/>
      <c r="F290" s="5"/>
    </row>
    <row r="291" spans="5:6" ht="13">
      <c r="E291" s="5"/>
      <c r="F291" s="5"/>
    </row>
    <row r="292" spans="5:6" ht="13">
      <c r="E292" s="5"/>
      <c r="F292" s="5"/>
    </row>
    <row r="293" spans="5:6" ht="13">
      <c r="E293" s="5"/>
      <c r="F293" s="5"/>
    </row>
    <row r="294" spans="5:6" ht="13">
      <c r="E294" s="5"/>
      <c r="F294" s="5"/>
    </row>
    <row r="295" spans="5:6" ht="13">
      <c r="E295" s="5"/>
      <c r="F295" s="5"/>
    </row>
    <row r="296" spans="5:6" ht="13">
      <c r="E296" s="5"/>
      <c r="F296" s="5"/>
    </row>
    <row r="297" spans="5:6" ht="13">
      <c r="E297" s="5"/>
      <c r="F297" s="5"/>
    </row>
    <row r="298" spans="5:6" ht="13">
      <c r="E298" s="5"/>
      <c r="F298" s="5"/>
    </row>
    <row r="299" spans="5:6" ht="13">
      <c r="E299" s="5"/>
      <c r="F299" s="5"/>
    </row>
    <row r="300" spans="5:6" ht="13">
      <c r="E300" s="5"/>
      <c r="F300" s="5"/>
    </row>
    <row r="301" spans="5:6" ht="13">
      <c r="E301" s="5"/>
      <c r="F301" s="5"/>
    </row>
    <row r="302" spans="5:6" ht="13">
      <c r="E302" s="5"/>
      <c r="F302" s="5"/>
    </row>
    <row r="303" spans="5:6" ht="13">
      <c r="E303" s="5"/>
      <c r="F303" s="5"/>
    </row>
    <row r="304" spans="5:6" ht="13">
      <c r="E304" s="5"/>
      <c r="F304" s="5"/>
    </row>
    <row r="305" spans="5:6" ht="13">
      <c r="E305" s="5"/>
      <c r="F305" s="5"/>
    </row>
    <row r="306" spans="5:6" ht="13">
      <c r="E306" s="5"/>
      <c r="F306" s="5"/>
    </row>
    <row r="307" spans="5:6" ht="13">
      <c r="E307" s="5"/>
      <c r="F307" s="5"/>
    </row>
    <row r="308" spans="5:6" ht="13">
      <c r="E308" s="5"/>
      <c r="F308" s="5"/>
    </row>
    <row r="309" spans="5:6" ht="13">
      <c r="E309" s="5"/>
      <c r="F309" s="5"/>
    </row>
    <row r="310" spans="5:6" ht="13">
      <c r="E310" s="5"/>
      <c r="F310" s="5"/>
    </row>
    <row r="311" spans="5:6" ht="13">
      <c r="E311" s="5"/>
      <c r="F311" s="5"/>
    </row>
    <row r="312" spans="5:6" ht="13">
      <c r="E312" s="5"/>
      <c r="F312" s="5"/>
    </row>
    <row r="313" spans="5:6" ht="13">
      <c r="E313" s="5"/>
      <c r="F313" s="5"/>
    </row>
    <row r="314" spans="5:6" ht="13">
      <c r="E314" s="5"/>
      <c r="F314" s="5"/>
    </row>
    <row r="315" spans="5:6" ht="13">
      <c r="E315" s="5"/>
      <c r="F315" s="5"/>
    </row>
    <row r="316" spans="5:6" ht="13">
      <c r="E316" s="5"/>
      <c r="F316" s="5"/>
    </row>
    <row r="317" spans="5:6" ht="13">
      <c r="E317" s="5"/>
      <c r="F317" s="5"/>
    </row>
    <row r="318" spans="5:6" ht="13">
      <c r="E318" s="5"/>
      <c r="F318" s="5"/>
    </row>
    <row r="319" spans="5:6" ht="13">
      <c r="E319" s="5"/>
      <c r="F319" s="5"/>
    </row>
    <row r="320" spans="5:6" ht="13">
      <c r="E320" s="5"/>
      <c r="F320" s="5"/>
    </row>
    <row r="321" spans="5:6" ht="13">
      <c r="E321" s="5"/>
      <c r="F321" s="5"/>
    </row>
    <row r="322" spans="5:6" ht="13">
      <c r="E322" s="5"/>
      <c r="F322" s="5"/>
    </row>
    <row r="323" spans="5:6" ht="13">
      <c r="E323" s="5"/>
      <c r="F323" s="5"/>
    </row>
    <row r="324" spans="5:6" ht="13">
      <c r="E324" s="5"/>
      <c r="F324" s="5"/>
    </row>
    <row r="325" spans="5:6" ht="13">
      <c r="E325" s="5"/>
      <c r="F325" s="5"/>
    </row>
    <row r="326" spans="5:6" ht="13">
      <c r="E326" s="5"/>
      <c r="F326" s="5"/>
    </row>
    <row r="327" spans="5:6" ht="13">
      <c r="E327" s="5"/>
      <c r="F327" s="5"/>
    </row>
    <row r="328" spans="5:6" ht="13">
      <c r="E328" s="5"/>
      <c r="F328" s="5"/>
    </row>
    <row r="329" spans="5:6" ht="13">
      <c r="E329" s="5"/>
      <c r="F329" s="5"/>
    </row>
    <row r="330" spans="5:6" ht="13">
      <c r="E330" s="5"/>
      <c r="F330" s="5"/>
    </row>
    <row r="331" spans="5:6" ht="13">
      <c r="E331" s="5"/>
      <c r="F331" s="5"/>
    </row>
    <row r="332" spans="5:6" ht="13">
      <c r="E332" s="5"/>
      <c r="F332" s="5"/>
    </row>
    <row r="333" spans="5:6" ht="13">
      <c r="E333" s="5"/>
      <c r="F333" s="5"/>
    </row>
    <row r="334" spans="5:6" ht="13">
      <c r="E334" s="5"/>
      <c r="F334" s="5"/>
    </row>
    <row r="335" spans="5:6" ht="13">
      <c r="E335" s="5"/>
      <c r="F335" s="5"/>
    </row>
    <row r="336" spans="5:6" ht="13">
      <c r="E336" s="5"/>
      <c r="F336" s="5"/>
    </row>
    <row r="337" spans="5:6" ht="13">
      <c r="E337" s="5"/>
      <c r="F337" s="5"/>
    </row>
    <row r="338" spans="5:6" ht="13">
      <c r="E338" s="5"/>
      <c r="F338" s="5"/>
    </row>
    <row r="339" spans="5:6" ht="13">
      <c r="E339" s="5"/>
      <c r="F339" s="5"/>
    </row>
    <row r="340" spans="5:6" ht="13">
      <c r="E340" s="5"/>
      <c r="F340" s="5"/>
    </row>
    <row r="341" spans="5:6" ht="13">
      <c r="E341" s="5"/>
      <c r="F341" s="5"/>
    </row>
    <row r="342" spans="5:6" ht="13">
      <c r="E342" s="5"/>
      <c r="F342" s="5"/>
    </row>
    <row r="343" spans="5:6" ht="13">
      <c r="E343" s="5"/>
      <c r="F343" s="5"/>
    </row>
    <row r="344" spans="5:6" ht="13">
      <c r="E344" s="5"/>
      <c r="F344" s="5"/>
    </row>
    <row r="345" spans="5:6" ht="13">
      <c r="E345" s="5"/>
      <c r="F345" s="5"/>
    </row>
    <row r="346" spans="5:6" ht="13">
      <c r="E346" s="5"/>
      <c r="F346" s="5"/>
    </row>
    <row r="347" spans="5:6" ht="13">
      <c r="E347" s="5"/>
      <c r="F347" s="5"/>
    </row>
    <row r="348" spans="5:6" ht="13">
      <c r="E348" s="5"/>
      <c r="F348" s="5"/>
    </row>
    <row r="349" spans="5:6" ht="13">
      <c r="E349" s="5"/>
      <c r="F349" s="5"/>
    </row>
    <row r="350" spans="5:6" ht="13">
      <c r="E350" s="5"/>
      <c r="F350" s="5"/>
    </row>
    <row r="351" spans="5:6" ht="13">
      <c r="E351" s="5"/>
      <c r="F351" s="5"/>
    </row>
    <row r="352" spans="5:6" ht="13">
      <c r="E352" s="5"/>
      <c r="F352" s="5"/>
    </row>
    <row r="353" spans="5:6" ht="13">
      <c r="E353" s="5"/>
      <c r="F353" s="5"/>
    </row>
    <row r="354" spans="5:6" ht="13">
      <c r="E354" s="5"/>
      <c r="F354" s="5"/>
    </row>
    <row r="355" spans="5:6" ht="13">
      <c r="E355" s="5"/>
      <c r="F355" s="5"/>
    </row>
    <row r="356" spans="5:6" ht="13">
      <c r="E356" s="5"/>
      <c r="F356" s="5"/>
    </row>
    <row r="357" spans="5:6" ht="13">
      <c r="E357" s="5"/>
      <c r="F357" s="5"/>
    </row>
    <row r="358" spans="5:6" ht="13">
      <c r="E358" s="5"/>
      <c r="F358" s="5"/>
    </row>
    <row r="359" spans="5:6" ht="13">
      <c r="E359" s="5"/>
      <c r="F359" s="5"/>
    </row>
    <row r="360" spans="5:6" ht="13">
      <c r="E360" s="5"/>
      <c r="F360" s="5"/>
    </row>
    <row r="361" spans="5:6" ht="13">
      <c r="E361" s="5"/>
      <c r="F361" s="5"/>
    </row>
    <row r="362" spans="5:6" ht="13">
      <c r="E362" s="5"/>
      <c r="F362" s="5"/>
    </row>
    <row r="363" spans="5:6" ht="13">
      <c r="E363" s="5"/>
      <c r="F363" s="5"/>
    </row>
    <row r="364" spans="5:6" ht="13">
      <c r="E364" s="5"/>
      <c r="F364" s="5"/>
    </row>
    <row r="365" spans="5:6" ht="13">
      <c r="E365" s="5"/>
      <c r="F365" s="5"/>
    </row>
    <row r="366" spans="5:6" ht="13">
      <c r="E366" s="5"/>
      <c r="F366" s="5"/>
    </row>
    <row r="367" spans="5:6" ht="13">
      <c r="E367" s="5"/>
      <c r="F367" s="5"/>
    </row>
    <row r="368" spans="5:6" ht="13">
      <c r="E368" s="5"/>
      <c r="F368" s="5"/>
    </row>
    <row r="369" spans="5:6" ht="13">
      <c r="E369" s="5"/>
      <c r="F369" s="5"/>
    </row>
    <row r="370" spans="5:6" ht="13">
      <c r="E370" s="5"/>
      <c r="F370" s="5"/>
    </row>
    <row r="371" spans="5:6" ht="13">
      <c r="E371" s="5"/>
      <c r="F371" s="5"/>
    </row>
    <row r="372" spans="5:6" ht="13">
      <c r="E372" s="5"/>
      <c r="F372" s="5"/>
    </row>
    <row r="373" spans="5:6" ht="13">
      <c r="E373" s="5"/>
      <c r="F373" s="5"/>
    </row>
    <row r="374" spans="5:6" ht="13">
      <c r="E374" s="5"/>
      <c r="F374" s="5"/>
    </row>
    <row r="375" spans="5:6" ht="13">
      <c r="E375" s="5"/>
      <c r="F375" s="5"/>
    </row>
    <row r="376" spans="5:6" ht="13">
      <c r="E376" s="5"/>
      <c r="F376" s="5"/>
    </row>
    <row r="377" spans="5:6" ht="13">
      <c r="E377" s="5"/>
      <c r="F377" s="5"/>
    </row>
    <row r="378" spans="5:6" ht="13">
      <c r="E378" s="5"/>
      <c r="F378" s="5"/>
    </row>
    <row r="379" spans="5:6" ht="13">
      <c r="E379" s="5"/>
      <c r="F379" s="5"/>
    </row>
    <row r="380" spans="5:6" ht="13">
      <c r="E380" s="5"/>
      <c r="F380" s="5"/>
    </row>
    <row r="381" spans="5:6" ht="13">
      <c r="E381" s="5"/>
      <c r="F381" s="5"/>
    </row>
    <row r="382" spans="5:6" ht="13">
      <c r="E382" s="5"/>
      <c r="F382" s="5"/>
    </row>
    <row r="383" spans="5:6" ht="13">
      <c r="E383" s="5"/>
      <c r="F383" s="5"/>
    </row>
    <row r="384" spans="5:6" ht="13">
      <c r="E384" s="5"/>
      <c r="F384" s="5"/>
    </row>
    <row r="385" spans="5:6" ht="13">
      <c r="E385" s="5"/>
      <c r="F385" s="5"/>
    </row>
    <row r="386" spans="5:6" ht="13">
      <c r="E386" s="5"/>
      <c r="F386" s="5"/>
    </row>
    <row r="387" spans="5:6" ht="13">
      <c r="E387" s="5"/>
      <c r="F387" s="5"/>
    </row>
    <row r="388" spans="5:6" ht="13">
      <c r="E388" s="5"/>
      <c r="F388" s="5"/>
    </row>
    <row r="389" spans="5:6" ht="13">
      <c r="E389" s="5"/>
      <c r="F389" s="5"/>
    </row>
    <row r="390" spans="5:6" ht="13">
      <c r="E390" s="5"/>
      <c r="F390" s="5"/>
    </row>
    <row r="391" spans="5:6" ht="13">
      <c r="E391" s="5"/>
      <c r="F391" s="5"/>
    </row>
    <row r="392" spans="5:6" ht="13">
      <c r="E392" s="5"/>
      <c r="F392" s="5"/>
    </row>
    <row r="393" spans="5:6" ht="13">
      <c r="E393" s="5"/>
      <c r="F393" s="5"/>
    </row>
    <row r="394" spans="5:6" ht="13">
      <c r="E394" s="5"/>
      <c r="F394" s="5"/>
    </row>
    <row r="395" spans="5:6" ht="13">
      <c r="E395" s="5"/>
      <c r="F395" s="5"/>
    </row>
    <row r="396" spans="5:6" ht="13">
      <c r="E396" s="5"/>
      <c r="F396" s="5"/>
    </row>
    <row r="397" spans="5:6" ht="13">
      <c r="E397" s="5"/>
      <c r="F397" s="5"/>
    </row>
    <row r="398" spans="5:6" ht="13">
      <c r="E398" s="5"/>
      <c r="F398" s="5"/>
    </row>
    <row r="399" spans="5:6" ht="13">
      <c r="E399" s="5"/>
      <c r="F399" s="5"/>
    </row>
    <row r="400" spans="5:6" ht="13">
      <c r="E400" s="5"/>
      <c r="F400" s="5"/>
    </row>
    <row r="401" spans="5:6" ht="13">
      <c r="E401" s="5"/>
      <c r="F401" s="5"/>
    </row>
    <row r="402" spans="5:6" ht="13">
      <c r="E402" s="5"/>
      <c r="F402" s="5"/>
    </row>
    <row r="403" spans="5:6" ht="13">
      <c r="E403" s="5"/>
      <c r="F403" s="5"/>
    </row>
    <row r="404" spans="5:6" ht="13">
      <c r="E404" s="5"/>
      <c r="F404" s="5"/>
    </row>
    <row r="405" spans="5:6" ht="13">
      <c r="E405" s="5"/>
      <c r="F405" s="5"/>
    </row>
    <row r="406" spans="5:6" ht="13">
      <c r="E406" s="5"/>
      <c r="F406" s="5"/>
    </row>
    <row r="407" spans="5:6" ht="13">
      <c r="E407" s="5"/>
      <c r="F407" s="5"/>
    </row>
    <row r="408" spans="5:6" ht="13">
      <c r="E408" s="5"/>
      <c r="F408" s="5"/>
    </row>
    <row r="409" spans="5:6" ht="13">
      <c r="E409" s="5"/>
      <c r="F409" s="5"/>
    </row>
    <row r="410" spans="5:6" ht="13">
      <c r="E410" s="5"/>
      <c r="F410" s="5"/>
    </row>
    <row r="411" spans="5:6" ht="13">
      <c r="E411" s="5"/>
      <c r="F411" s="5"/>
    </row>
    <row r="412" spans="5:6" ht="13">
      <c r="E412" s="5"/>
      <c r="F412" s="5"/>
    </row>
    <row r="413" spans="5:6" ht="13">
      <c r="E413" s="5"/>
      <c r="F413" s="5"/>
    </row>
    <row r="414" spans="5:6" ht="13">
      <c r="E414" s="5"/>
      <c r="F414" s="5"/>
    </row>
    <row r="415" spans="5:6" ht="13">
      <c r="E415" s="5"/>
      <c r="F415" s="5"/>
    </row>
    <row r="416" spans="5:6" ht="13">
      <c r="E416" s="5"/>
      <c r="F416" s="5"/>
    </row>
    <row r="417" spans="5:6" ht="13">
      <c r="E417" s="5"/>
      <c r="F417" s="5"/>
    </row>
    <row r="418" spans="5:6" ht="13">
      <c r="E418" s="5"/>
      <c r="F418" s="5"/>
    </row>
    <row r="419" spans="5:6" ht="13">
      <c r="E419" s="5"/>
      <c r="F419" s="5"/>
    </row>
    <row r="420" spans="5:6" ht="13">
      <c r="E420" s="5"/>
      <c r="F420" s="5"/>
    </row>
    <row r="421" spans="5:6" ht="13">
      <c r="E421" s="5"/>
      <c r="F421" s="5"/>
    </row>
    <row r="422" spans="5:6" ht="13">
      <c r="E422" s="5"/>
      <c r="F422" s="5"/>
    </row>
    <row r="423" spans="5:6" ht="13">
      <c r="E423" s="5"/>
      <c r="F423" s="5"/>
    </row>
    <row r="424" spans="5:6" ht="13">
      <c r="E424" s="5"/>
      <c r="F424" s="5"/>
    </row>
    <row r="425" spans="5:6" ht="13">
      <c r="E425" s="5"/>
      <c r="F425" s="5"/>
    </row>
    <row r="426" spans="5:6" ht="13">
      <c r="E426" s="5"/>
      <c r="F426" s="5"/>
    </row>
    <row r="427" spans="5:6" ht="13">
      <c r="E427" s="5"/>
      <c r="F427" s="5"/>
    </row>
    <row r="428" spans="5:6" ht="13">
      <c r="E428" s="5"/>
      <c r="F428" s="5"/>
    </row>
    <row r="429" spans="5:6" ht="13">
      <c r="E429" s="5"/>
      <c r="F429" s="5"/>
    </row>
    <row r="430" spans="5:6" ht="13">
      <c r="E430" s="5"/>
      <c r="F430" s="5"/>
    </row>
    <row r="431" spans="5:6" ht="13">
      <c r="E431" s="5"/>
      <c r="F431" s="5"/>
    </row>
    <row r="432" spans="5:6" ht="13">
      <c r="E432" s="5"/>
      <c r="F432" s="5"/>
    </row>
    <row r="433" spans="5:6" ht="13">
      <c r="E433" s="5"/>
      <c r="F433" s="5"/>
    </row>
    <row r="434" spans="5:6" ht="13">
      <c r="E434" s="5"/>
      <c r="F434" s="5"/>
    </row>
    <row r="435" spans="5:6" ht="13">
      <c r="E435" s="5"/>
      <c r="F435" s="5"/>
    </row>
    <row r="436" spans="5:6" ht="13">
      <c r="E436" s="5"/>
      <c r="F436" s="5"/>
    </row>
    <row r="437" spans="5:6" ht="13">
      <c r="E437" s="5"/>
      <c r="F437" s="5"/>
    </row>
    <row r="438" spans="5:6" ht="13">
      <c r="E438" s="5"/>
      <c r="F438" s="5"/>
    </row>
    <row r="439" spans="5:6" ht="13">
      <c r="E439" s="5"/>
      <c r="F439" s="5"/>
    </row>
    <row r="440" spans="5:6" ht="13">
      <c r="E440" s="5"/>
      <c r="F440" s="5"/>
    </row>
    <row r="441" spans="5:6" ht="13">
      <c r="E441" s="5"/>
      <c r="F441" s="5"/>
    </row>
    <row r="442" spans="5:6" ht="13">
      <c r="E442" s="5"/>
      <c r="F442" s="5"/>
    </row>
    <row r="443" spans="5:6" ht="13">
      <c r="E443" s="5"/>
      <c r="F443" s="5"/>
    </row>
    <row r="444" spans="5:6" ht="13">
      <c r="E444" s="5"/>
      <c r="F444" s="5"/>
    </row>
    <row r="445" spans="5:6" ht="13">
      <c r="E445" s="5"/>
      <c r="F445" s="5"/>
    </row>
    <row r="446" spans="5:6" ht="13">
      <c r="E446" s="5"/>
      <c r="F446" s="5"/>
    </row>
    <row r="447" spans="5:6" ht="13">
      <c r="E447" s="5"/>
      <c r="F447" s="5"/>
    </row>
    <row r="448" spans="5:6" ht="13">
      <c r="E448" s="5"/>
      <c r="F448" s="5"/>
    </row>
    <row r="449" spans="5:6" ht="13">
      <c r="E449" s="5"/>
      <c r="F449" s="5"/>
    </row>
    <row r="450" spans="5:6" ht="13">
      <c r="E450" s="5"/>
      <c r="F450" s="5"/>
    </row>
    <row r="451" spans="5:6" ht="13">
      <c r="E451" s="5"/>
      <c r="F451" s="5"/>
    </row>
    <row r="452" spans="5:6" ht="13">
      <c r="E452" s="5"/>
      <c r="F452" s="5"/>
    </row>
    <row r="453" spans="5:6" ht="13">
      <c r="E453" s="5"/>
      <c r="F453" s="5"/>
    </row>
    <row r="454" spans="5:6" ht="13">
      <c r="E454" s="5"/>
      <c r="F454" s="5"/>
    </row>
    <row r="455" spans="5:6" ht="13">
      <c r="E455" s="5"/>
      <c r="F455" s="5"/>
    </row>
    <row r="456" spans="5:6" ht="13">
      <c r="E456" s="5"/>
      <c r="F456" s="5"/>
    </row>
    <row r="457" spans="5:6" ht="13">
      <c r="E457" s="5"/>
      <c r="F457" s="5"/>
    </row>
    <row r="458" spans="5:6" ht="13">
      <c r="E458" s="5"/>
      <c r="F458" s="5"/>
    </row>
    <row r="459" spans="5:6" ht="13">
      <c r="E459" s="5"/>
      <c r="F459" s="5"/>
    </row>
    <row r="460" spans="5:6" ht="13">
      <c r="E460" s="5"/>
      <c r="F460" s="5"/>
    </row>
    <row r="461" spans="5:6" ht="13">
      <c r="E461" s="5"/>
      <c r="F461" s="5"/>
    </row>
    <row r="462" spans="5:6" ht="13">
      <c r="E462" s="5"/>
      <c r="F462" s="5"/>
    </row>
    <row r="463" spans="5:6" ht="13">
      <c r="E463" s="5"/>
      <c r="F463" s="5"/>
    </row>
    <row r="464" spans="5:6" ht="13">
      <c r="E464" s="5"/>
      <c r="F464" s="5"/>
    </row>
    <row r="465" spans="5:6" ht="13">
      <c r="E465" s="5"/>
      <c r="F465" s="5"/>
    </row>
    <row r="466" spans="5:6" ht="13">
      <c r="E466" s="5"/>
      <c r="F466" s="5"/>
    </row>
    <row r="467" spans="5:6" ht="13">
      <c r="E467" s="5"/>
      <c r="F467" s="5"/>
    </row>
    <row r="468" spans="5:6" ht="13">
      <c r="E468" s="5"/>
      <c r="F468" s="5"/>
    </row>
    <row r="469" spans="5:6" ht="13">
      <c r="E469" s="5"/>
      <c r="F469" s="5"/>
    </row>
    <row r="470" spans="5:6" ht="13">
      <c r="E470" s="5"/>
      <c r="F470" s="5"/>
    </row>
    <row r="471" spans="5:6" ht="13">
      <c r="E471" s="5"/>
      <c r="F471" s="5"/>
    </row>
    <row r="472" spans="5:6" ht="13">
      <c r="E472" s="5"/>
      <c r="F472" s="5"/>
    </row>
    <row r="473" spans="5:6" ht="13">
      <c r="E473" s="5"/>
      <c r="F473" s="5"/>
    </row>
    <row r="474" spans="5:6" ht="13">
      <c r="E474" s="5"/>
      <c r="F474" s="5"/>
    </row>
    <row r="475" spans="5:6" ht="13">
      <c r="E475" s="5"/>
      <c r="F475" s="5"/>
    </row>
    <row r="476" spans="5:6" ht="13">
      <c r="E476" s="5"/>
      <c r="F476" s="5"/>
    </row>
    <row r="477" spans="5:6" ht="13">
      <c r="E477" s="5"/>
      <c r="F477" s="5"/>
    </row>
    <row r="478" spans="5:6" ht="13">
      <c r="E478" s="5"/>
      <c r="F478" s="5"/>
    </row>
    <row r="479" spans="5:6" ht="13">
      <c r="E479" s="5"/>
      <c r="F479" s="5"/>
    </row>
    <row r="480" spans="5:6" ht="13">
      <c r="E480" s="5"/>
      <c r="F480" s="5"/>
    </row>
    <row r="481" spans="5:6" ht="13">
      <c r="E481" s="5"/>
      <c r="F481" s="5"/>
    </row>
    <row r="482" spans="5:6" ht="13">
      <c r="E482" s="5"/>
      <c r="F482" s="5"/>
    </row>
    <row r="483" spans="5:6" ht="13">
      <c r="E483" s="5"/>
      <c r="F483" s="5"/>
    </row>
    <row r="484" spans="5:6" ht="13">
      <c r="E484" s="5"/>
      <c r="F484" s="5"/>
    </row>
    <row r="485" spans="5:6" ht="13">
      <c r="E485" s="5"/>
      <c r="F485" s="5"/>
    </row>
    <row r="486" spans="5:6" ht="13">
      <c r="E486" s="5"/>
      <c r="F486" s="5"/>
    </row>
    <row r="487" spans="5:6" ht="13">
      <c r="E487" s="5"/>
      <c r="F487" s="5"/>
    </row>
    <row r="488" spans="5:6" ht="13">
      <c r="E488" s="5"/>
      <c r="F488" s="5"/>
    </row>
    <row r="489" spans="5:6" ht="13">
      <c r="E489" s="5"/>
      <c r="F489" s="5"/>
    </row>
    <row r="490" spans="5:6" ht="13">
      <c r="E490" s="5"/>
      <c r="F490" s="5"/>
    </row>
    <row r="491" spans="5:6" ht="13">
      <c r="E491" s="5"/>
      <c r="F491" s="5"/>
    </row>
    <row r="492" spans="5:6" ht="13">
      <c r="E492" s="5"/>
      <c r="F492" s="5"/>
    </row>
    <row r="493" spans="5:6" ht="13">
      <c r="E493" s="5"/>
      <c r="F493" s="5"/>
    </row>
    <row r="494" spans="5:6" ht="13">
      <c r="E494" s="5"/>
      <c r="F494" s="5"/>
    </row>
    <row r="495" spans="5:6" ht="13">
      <c r="E495" s="5"/>
      <c r="F495" s="5"/>
    </row>
    <row r="496" spans="5:6" ht="13">
      <c r="E496" s="5"/>
      <c r="F496" s="5"/>
    </row>
    <row r="497" spans="5:6" ht="13">
      <c r="E497" s="5"/>
      <c r="F497" s="5"/>
    </row>
    <row r="498" spans="5:6" ht="13">
      <c r="E498" s="5"/>
      <c r="F498" s="5"/>
    </row>
    <row r="499" spans="5:6" ht="13">
      <c r="E499" s="5"/>
      <c r="F499" s="5"/>
    </row>
    <row r="500" spans="5:6" ht="13">
      <c r="E500" s="5"/>
      <c r="F500" s="5"/>
    </row>
    <row r="501" spans="5:6" ht="13">
      <c r="E501" s="5"/>
      <c r="F501" s="5"/>
    </row>
    <row r="502" spans="5:6" ht="13">
      <c r="E502" s="5"/>
      <c r="F502" s="5"/>
    </row>
    <row r="503" spans="5:6" ht="13">
      <c r="E503" s="5"/>
      <c r="F503" s="5"/>
    </row>
    <row r="504" spans="5:6" ht="13">
      <c r="E504" s="5"/>
      <c r="F504" s="5"/>
    </row>
    <row r="505" spans="5:6" ht="13">
      <c r="E505" s="5"/>
      <c r="F505" s="5"/>
    </row>
    <row r="506" spans="5:6" ht="13">
      <c r="E506" s="5"/>
      <c r="F506" s="5"/>
    </row>
    <row r="507" spans="5:6" ht="13">
      <c r="E507" s="5"/>
      <c r="F507" s="5"/>
    </row>
    <row r="508" spans="5:6" ht="13">
      <c r="E508" s="5"/>
      <c r="F508" s="5"/>
    </row>
    <row r="509" spans="5:6" ht="13">
      <c r="E509" s="5"/>
      <c r="F509" s="5"/>
    </row>
    <row r="510" spans="5:6" ht="13">
      <c r="E510" s="5"/>
      <c r="F510" s="5"/>
    </row>
    <row r="511" spans="5:6" ht="13">
      <c r="E511" s="5"/>
      <c r="F511" s="5"/>
    </row>
    <row r="512" spans="5:6" ht="13">
      <c r="E512" s="5"/>
      <c r="F512" s="5"/>
    </row>
    <row r="513" spans="5:6" ht="13">
      <c r="E513" s="5"/>
      <c r="F513" s="5"/>
    </row>
    <row r="514" spans="5:6" ht="13">
      <c r="E514" s="5"/>
      <c r="F514" s="5"/>
    </row>
    <row r="515" spans="5:6" ht="13">
      <c r="E515" s="5"/>
      <c r="F515" s="5"/>
    </row>
    <row r="516" spans="5:6" ht="13">
      <c r="E516" s="5"/>
      <c r="F516" s="5"/>
    </row>
    <row r="517" spans="5:6" ht="13">
      <c r="E517" s="5"/>
      <c r="F517" s="5"/>
    </row>
    <row r="518" spans="5:6" ht="13">
      <c r="E518" s="5"/>
      <c r="F518" s="5"/>
    </row>
    <row r="519" spans="5:6" ht="13">
      <c r="E519" s="5"/>
      <c r="F519" s="5"/>
    </row>
    <row r="520" spans="5:6" ht="13">
      <c r="E520" s="5"/>
      <c r="F520" s="5"/>
    </row>
    <row r="521" spans="5:6" ht="13">
      <c r="E521" s="5"/>
      <c r="F521" s="5"/>
    </row>
    <row r="522" spans="5:6" ht="13">
      <c r="E522" s="5"/>
      <c r="F522" s="5"/>
    </row>
    <row r="523" spans="5:6" ht="13">
      <c r="E523" s="5"/>
      <c r="F523" s="5"/>
    </row>
    <row r="524" spans="5:6" ht="13">
      <c r="E524" s="5"/>
      <c r="F524" s="5"/>
    </row>
    <row r="525" spans="5:6" ht="13">
      <c r="E525" s="5"/>
      <c r="F525" s="5"/>
    </row>
    <row r="526" spans="5:6" ht="13">
      <c r="E526" s="5"/>
      <c r="F526" s="5"/>
    </row>
    <row r="527" spans="5:6" ht="13">
      <c r="E527" s="5"/>
      <c r="F527" s="5"/>
    </row>
    <row r="528" spans="5:6" ht="13">
      <c r="E528" s="5"/>
      <c r="F528" s="5"/>
    </row>
    <row r="529" spans="5:6" ht="13">
      <c r="E529" s="5"/>
      <c r="F529" s="5"/>
    </row>
    <row r="530" spans="5:6" ht="13">
      <c r="E530" s="5"/>
      <c r="F530" s="5"/>
    </row>
    <row r="531" spans="5:6" ht="13">
      <c r="E531" s="5"/>
      <c r="F531" s="5"/>
    </row>
    <row r="532" spans="5:6" ht="13">
      <c r="E532" s="5"/>
      <c r="F532" s="5"/>
    </row>
    <row r="533" spans="5:6" ht="13">
      <c r="E533" s="5"/>
      <c r="F533" s="5"/>
    </row>
    <row r="534" spans="5:6" ht="13">
      <c r="E534" s="5"/>
      <c r="F534" s="5"/>
    </row>
    <row r="535" spans="5:6" ht="13">
      <c r="E535" s="5"/>
      <c r="F535" s="5"/>
    </row>
    <row r="536" spans="5:6" ht="13">
      <c r="E536" s="5"/>
      <c r="F536" s="5"/>
    </row>
    <row r="537" spans="5:6" ht="13">
      <c r="E537" s="5"/>
      <c r="F537" s="5"/>
    </row>
    <row r="538" spans="5:6" ht="13">
      <c r="E538" s="5"/>
      <c r="F538" s="5"/>
    </row>
    <row r="539" spans="5:6" ht="13">
      <c r="E539" s="5"/>
      <c r="F539" s="5"/>
    </row>
    <row r="540" spans="5:6" ht="13">
      <c r="E540" s="5"/>
      <c r="F540" s="5"/>
    </row>
    <row r="541" spans="5:6" ht="13">
      <c r="E541" s="5"/>
      <c r="F541" s="5"/>
    </row>
    <row r="542" spans="5:6" ht="13">
      <c r="E542" s="5"/>
      <c r="F542" s="5"/>
    </row>
    <row r="543" spans="5:6" ht="13">
      <c r="E543" s="5"/>
      <c r="F543" s="5"/>
    </row>
    <row r="544" spans="5:6" ht="13">
      <c r="E544" s="5"/>
      <c r="F544" s="5"/>
    </row>
    <row r="545" spans="5:6" ht="13">
      <c r="E545" s="5"/>
      <c r="F545" s="5"/>
    </row>
    <row r="546" spans="5:6" ht="13">
      <c r="E546" s="5"/>
      <c r="F546" s="5"/>
    </row>
    <row r="547" spans="5:6" ht="13">
      <c r="E547" s="5"/>
      <c r="F547" s="5"/>
    </row>
    <row r="548" spans="5:6" ht="13">
      <c r="E548" s="5"/>
      <c r="F548" s="5"/>
    </row>
    <row r="549" spans="5:6" ht="13">
      <c r="E549" s="5"/>
      <c r="F549" s="5"/>
    </row>
    <row r="550" spans="5:6" ht="13">
      <c r="E550" s="5"/>
      <c r="F550" s="5"/>
    </row>
    <row r="551" spans="5:6" ht="13">
      <c r="E551" s="5"/>
      <c r="F551" s="5"/>
    </row>
    <row r="552" spans="5:6" ht="13">
      <c r="E552" s="5"/>
      <c r="F552" s="5"/>
    </row>
    <row r="553" spans="5:6" ht="13">
      <c r="E553" s="5"/>
      <c r="F553" s="5"/>
    </row>
    <row r="554" spans="5:6" ht="13">
      <c r="E554" s="5"/>
      <c r="F554" s="5"/>
    </row>
    <row r="555" spans="5:6" ht="13">
      <c r="E555" s="5"/>
      <c r="F555" s="5"/>
    </row>
    <row r="556" spans="5:6" ht="13">
      <c r="E556" s="5"/>
      <c r="F556" s="5"/>
    </row>
    <row r="557" spans="5:6" ht="13">
      <c r="E557" s="5"/>
      <c r="F557" s="5"/>
    </row>
    <row r="558" spans="5:6" ht="13">
      <c r="E558" s="5"/>
      <c r="F558" s="5"/>
    </row>
    <row r="559" spans="5:6" ht="13">
      <c r="E559" s="5"/>
      <c r="F559" s="5"/>
    </row>
    <row r="560" spans="5:6" ht="13">
      <c r="E560" s="5"/>
      <c r="F560" s="5"/>
    </row>
    <row r="561" spans="5:6" ht="13">
      <c r="E561" s="5"/>
      <c r="F561" s="5"/>
    </row>
    <row r="562" spans="5:6" ht="13">
      <c r="E562" s="5"/>
      <c r="F562" s="5"/>
    </row>
    <row r="563" spans="5:6" ht="13">
      <c r="E563" s="5"/>
      <c r="F563" s="5"/>
    </row>
    <row r="564" spans="5:6" ht="13">
      <c r="E564" s="5"/>
      <c r="F564" s="5"/>
    </row>
    <row r="565" spans="5:6" ht="13">
      <c r="E565" s="5"/>
      <c r="F565" s="5"/>
    </row>
    <row r="566" spans="5:6" ht="13">
      <c r="E566" s="5"/>
      <c r="F566" s="5"/>
    </row>
    <row r="567" spans="5:6" ht="13">
      <c r="E567" s="5"/>
      <c r="F567" s="5"/>
    </row>
    <row r="568" spans="5:6" ht="13">
      <c r="E568" s="5"/>
      <c r="F568" s="5"/>
    </row>
    <row r="569" spans="5:6" ht="13">
      <c r="E569" s="5"/>
      <c r="F569" s="5"/>
    </row>
    <row r="570" spans="5:6" ht="13">
      <c r="E570" s="5"/>
      <c r="F570" s="5"/>
    </row>
    <row r="571" spans="5:6" ht="13">
      <c r="E571" s="5"/>
      <c r="F571" s="5"/>
    </row>
    <row r="572" spans="5:6" ht="13">
      <c r="E572" s="5"/>
      <c r="F572" s="5"/>
    </row>
    <row r="573" spans="5:6" ht="13">
      <c r="E573" s="5"/>
      <c r="F573" s="5"/>
    </row>
    <row r="574" spans="5:6" ht="13">
      <c r="E574" s="5"/>
      <c r="F574" s="5"/>
    </row>
    <row r="575" spans="5:6" ht="13">
      <c r="E575" s="5"/>
      <c r="F575" s="5"/>
    </row>
    <row r="576" spans="5:6" ht="13">
      <c r="E576" s="5"/>
      <c r="F576" s="5"/>
    </row>
    <row r="577" spans="5:6" ht="13">
      <c r="E577" s="5"/>
      <c r="F577" s="5"/>
    </row>
    <row r="578" spans="5:6" ht="13">
      <c r="E578" s="5"/>
      <c r="F578" s="5"/>
    </row>
    <row r="579" spans="5:6" ht="13">
      <c r="E579" s="5"/>
      <c r="F579" s="5"/>
    </row>
    <row r="580" spans="5:6" ht="13">
      <c r="E580" s="5"/>
      <c r="F580" s="5"/>
    </row>
    <row r="581" spans="5:6" ht="13">
      <c r="E581" s="5"/>
      <c r="F581" s="5"/>
    </row>
    <row r="582" spans="5:6" ht="13">
      <c r="E582" s="5"/>
      <c r="F582" s="5"/>
    </row>
    <row r="583" spans="5:6" ht="13">
      <c r="E583" s="5"/>
      <c r="F583" s="5"/>
    </row>
    <row r="584" spans="5:6" ht="13">
      <c r="E584" s="5"/>
      <c r="F584" s="5"/>
    </row>
    <row r="585" spans="5:6" ht="13">
      <c r="E585" s="5"/>
      <c r="F585" s="5"/>
    </row>
    <row r="586" spans="5:6" ht="13">
      <c r="E586" s="5"/>
      <c r="F586" s="5"/>
    </row>
    <row r="587" spans="5:6" ht="13">
      <c r="E587" s="5"/>
      <c r="F587" s="5"/>
    </row>
    <row r="588" spans="5:6" ht="13">
      <c r="E588" s="5"/>
      <c r="F588" s="5"/>
    </row>
    <row r="589" spans="5:6" ht="13">
      <c r="E589" s="5"/>
      <c r="F589" s="5"/>
    </row>
    <row r="590" spans="5:6" ht="13">
      <c r="E590" s="5"/>
      <c r="F590" s="5"/>
    </row>
    <row r="591" spans="5:6" ht="13">
      <c r="E591" s="5"/>
      <c r="F591" s="5"/>
    </row>
    <row r="592" spans="5:6" ht="13">
      <c r="E592" s="5"/>
      <c r="F592" s="5"/>
    </row>
    <row r="593" spans="5:6" ht="13">
      <c r="E593" s="5"/>
      <c r="F593" s="5"/>
    </row>
    <row r="594" spans="5:6" ht="13">
      <c r="E594" s="5"/>
      <c r="F594" s="5"/>
    </row>
    <row r="595" spans="5:6" ht="13">
      <c r="E595" s="5"/>
      <c r="F595" s="5"/>
    </row>
    <row r="596" spans="5:6" ht="13">
      <c r="E596" s="5"/>
      <c r="F596" s="5"/>
    </row>
    <row r="597" spans="5:6" ht="13">
      <c r="E597" s="5"/>
      <c r="F597" s="5"/>
    </row>
    <row r="598" spans="5:6" ht="13">
      <c r="E598" s="5"/>
      <c r="F598" s="5"/>
    </row>
    <row r="599" spans="5:6" ht="13">
      <c r="E599" s="5"/>
      <c r="F599" s="5"/>
    </row>
    <row r="600" spans="5:6" ht="13">
      <c r="E600" s="5"/>
      <c r="F600" s="5"/>
    </row>
    <row r="601" spans="5:6" ht="13">
      <c r="E601" s="5"/>
      <c r="F601" s="5"/>
    </row>
    <row r="602" spans="5:6" ht="13">
      <c r="E602" s="5"/>
      <c r="F602" s="5"/>
    </row>
    <row r="603" spans="5:6" ht="13">
      <c r="E603" s="5"/>
      <c r="F603" s="5"/>
    </row>
    <row r="604" spans="5:6" ht="13">
      <c r="E604" s="5"/>
      <c r="F604" s="5"/>
    </row>
    <row r="605" spans="5:6" ht="13">
      <c r="E605" s="5"/>
      <c r="F605" s="5"/>
    </row>
    <row r="606" spans="5:6" ht="13">
      <c r="E606" s="5"/>
      <c r="F606" s="5"/>
    </row>
    <row r="607" spans="5:6" ht="13">
      <c r="E607" s="5"/>
      <c r="F607" s="5"/>
    </row>
    <row r="608" spans="5:6" ht="13">
      <c r="E608" s="5"/>
      <c r="F608" s="5"/>
    </row>
    <row r="609" spans="5:6" ht="13">
      <c r="E609" s="5"/>
      <c r="F609" s="5"/>
    </row>
    <row r="610" spans="5:6" ht="13">
      <c r="E610" s="5"/>
      <c r="F610" s="5"/>
    </row>
    <row r="611" spans="5:6" ht="13">
      <c r="E611" s="5"/>
      <c r="F611" s="5"/>
    </row>
    <row r="612" spans="5:6" ht="13">
      <c r="E612" s="5"/>
      <c r="F612" s="5"/>
    </row>
    <row r="613" spans="5:6" ht="13">
      <c r="E613" s="5"/>
      <c r="F613" s="5"/>
    </row>
    <row r="614" spans="5:6" ht="13">
      <c r="E614" s="5"/>
      <c r="F614" s="5"/>
    </row>
    <row r="615" spans="5:6" ht="13">
      <c r="E615" s="5"/>
      <c r="F615" s="5"/>
    </row>
    <row r="616" spans="5:6" ht="13">
      <c r="E616" s="5"/>
      <c r="F616" s="5"/>
    </row>
    <row r="617" spans="5:6" ht="13">
      <c r="E617" s="5"/>
      <c r="F617" s="5"/>
    </row>
    <row r="618" spans="5:6" ht="13">
      <c r="E618" s="5"/>
      <c r="F618" s="5"/>
    </row>
    <row r="619" spans="5:6" ht="13">
      <c r="E619" s="5"/>
      <c r="F619" s="5"/>
    </row>
    <row r="620" spans="5:6" ht="13">
      <c r="E620" s="5"/>
      <c r="F620" s="5"/>
    </row>
    <row r="621" spans="5:6" ht="13">
      <c r="E621" s="5"/>
      <c r="F621" s="5"/>
    </row>
    <row r="622" spans="5:6" ht="13">
      <c r="E622" s="5"/>
      <c r="F622" s="5"/>
    </row>
    <row r="623" spans="5:6" ht="13">
      <c r="E623" s="5"/>
      <c r="F623" s="5"/>
    </row>
    <row r="624" spans="5:6" ht="13">
      <c r="E624" s="5"/>
      <c r="F624" s="5"/>
    </row>
    <row r="625" spans="5:6" ht="13">
      <c r="E625" s="5"/>
      <c r="F625" s="5"/>
    </row>
    <row r="626" spans="5:6" ht="13">
      <c r="E626" s="5"/>
      <c r="F626" s="5"/>
    </row>
    <row r="627" spans="5:6" ht="13">
      <c r="E627" s="5"/>
      <c r="F627" s="5"/>
    </row>
    <row r="628" spans="5:6" ht="13">
      <c r="E628" s="5"/>
      <c r="F628" s="5"/>
    </row>
    <row r="629" spans="5:6" ht="13">
      <c r="E629" s="5"/>
      <c r="F629" s="5"/>
    </row>
    <row r="630" spans="5:6" ht="13">
      <c r="E630" s="5"/>
      <c r="F630" s="5"/>
    </row>
    <row r="631" spans="5:6" ht="13">
      <c r="E631" s="5"/>
      <c r="F631" s="5"/>
    </row>
    <row r="632" spans="5:6" ht="13">
      <c r="E632" s="5"/>
      <c r="F632" s="5"/>
    </row>
    <row r="633" spans="5:6" ht="13">
      <c r="E633" s="5"/>
      <c r="F633" s="5"/>
    </row>
    <row r="634" spans="5:6" ht="13">
      <c r="E634" s="5"/>
      <c r="F634" s="5"/>
    </row>
    <row r="635" spans="5:6" ht="13">
      <c r="E635" s="5"/>
      <c r="F635" s="5"/>
    </row>
    <row r="636" spans="5:6" ht="13">
      <c r="E636" s="5"/>
      <c r="F636" s="5"/>
    </row>
    <row r="637" spans="5:6" ht="13">
      <c r="E637" s="5"/>
      <c r="F637" s="5"/>
    </row>
    <row r="638" spans="5:6" ht="13">
      <c r="E638" s="5"/>
      <c r="F638" s="5"/>
    </row>
    <row r="639" spans="5:6" ht="13">
      <c r="E639" s="5"/>
      <c r="F639" s="5"/>
    </row>
    <row r="640" spans="5:6" ht="13">
      <c r="E640" s="5"/>
      <c r="F640" s="5"/>
    </row>
    <row r="641" spans="5:6" ht="13">
      <c r="E641" s="5"/>
      <c r="F641" s="5"/>
    </row>
    <row r="642" spans="5:6" ht="13">
      <c r="E642" s="5"/>
      <c r="F642" s="5"/>
    </row>
    <row r="643" spans="5:6" ht="13">
      <c r="E643" s="5"/>
      <c r="F643" s="5"/>
    </row>
    <row r="644" spans="5:6" ht="13">
      <c r="E644" s="5"/>
      <c r="F644" s="5"/>
    </row>
    <row r="645" spans="5:6" ht="13">
      <c r="E645" s="5"/>
      <c r="F645" s="5"/>
    </row>
    <row r="646" spans="5:6" ht="13">
      <c r="E646" s="5"/>
      <c r="F646" s="5"/>
    </row>
    <row r="647" spans="5:6" ht="13">
      <c r="E647" s="5"/>
      <c r="F647" s="5"/>
    </row>
    <row r="648" spans="5:6" ht="13">
      <c r="E648" s="5"/>
      <c r="F648" s="5"/>
    </row>
    <row r="649" spans="5:6" ht="13">
      <c r="E649" s="5"/>
      <c r="F649" s="5"/>
    </row>
    <row r="650" spans="5:6" ht="13">
      <c r="E650" s="5"/>
      <c r="F650" s="5"/>
    </row>
    <row r="651" spans="5:6" ht="13">
      <c r="E651" s="5"/>
      <c r="F651" s="5"/>
    </row>
    <row r="652" spans="5:6" ht="13">
      <c r="E652" s="5"/>
      <c r="F652" s="5"/>
    </row>
    <row r="653" spans="5:6" ht="13">
      <c r="E653" s="5"/>
      <c r="F653" s="5"/>
    </row>
    <row r="654" spans="5:6" ht="13">
      <c r="E654" s="5"/>
      <c r="F654" s="5"/>
    </row>
    <row r="655" spans="5:6" ht="13">
      <c r="E655" s="5"/>
      <c r="F655" s="5"/>
    </row>
    <row r="656" spans="5:6" ht="13">
      <c r="E656" s="5"/>
      <c r="F656" s="5"/>
    </row>
    <row r="657" spans="5:6" ht="13">
      <c r="E657" s="5"/>
      <c r="F657" s="5"/>
    </row>
    <row r="658" spans="5:6" ht="13">
      <c r="E658" s="5"/>
      <c r="F658" s="5"/>
    </row>
    <row r="659" spans="5:6" ht="13">
      <c r="E659" s="5"/>
      <c r="F659" s="5"/>
    </row>
    <row r="660" spans="5:6" ht="13">
      <c r="E660" s="5"/>
      <c r="F660" s="5"/>
    </row>
    <row r="661" spans="5:6" ht="13">
      <c r="E661" s="5"/>
      <c r="F661" s="5"/>
    </row>
    <row r="662" spans="5:6" ht="13">
      <c r="E662" s="5"/>
      <c r="F662" s="5"/>
    </row>
    <row r="663" spans="5:6" ht="13">
      <c r="E663" s="5"/>
      <c r="F663" s="5"/>
    </row>
    <row r="664" spans="5:6" ht="13">
      <c r="E664" s="5"/>
      <c r="F664" s="5"/>
    </row>
    <row r="665" spans="5:6" ht="13">
      <c r="E665" s="5"/>
      <c r="F665" s="5"/>
    </row>
    <row r="666" spans="5:6" ht="13">
      <c r="E666" s="5"/>
      <c r="F666" s="5"/>
    </row>
    <row r="667" spans="5:6" ht="13">
      <c r="E667" s="5"/>
      <c r="F667" s="5"/>
    </row>
    <row r="668" spans="5:6" ht="13">
      <c r="E668" s="5"/>
      <c r="F668" s="5"/>
    </row>
    <row r="669" spans="5:6" ht="13">
      <c r="E669" s="5"/>
      <c r="F669" s="5"/>
    </row>
    <row r="670" spans="5:6" ht="13">
      <c r="E670" s="5"/>
      <c r="F670" s="5"/>
    </row>
    <row r="671" spans="5:6" ht="13">
      <c r="E671" s="5"/>
      <c r="F671" s="5"/>
    </row>
    <row r="672" spans="5:6" ht="13">
      <c r="E672" s="5"/>
      <c r="F672" s="5"/>
    </row>
    <row r="673" spans="5:6" ht="13">
      <c r="E673" s="5"/>
      <c r="F673" s="5"/>
    </row>
    <row r="674" spans="5:6" ht="13">
      <c r="E674" s="5"/>
      <c r="F674" s="5"/>
    </row>
    <row r="675" spans="5:6" ht="13">
      <c r="E675" s="5"/>
      <c r="F675" s="5"/>
    </row>
    <row r="676" spans="5:6" ht="13">
      <c r="E676" s="5"/>
      <c r="F676" s="5"/>
    </row>
    <row r="677" spans="5:6" ht="13">
      <c r="E677" s="5"/>
      <c r="F677" s="5"/>
    </row>
    <row r="678" spans="5:6" ht="13">
      <c r="E678" s="5"/>
      <c r="F678" s="5"/>
    </row>
    <row r="679" spans="5:6" ht="13">
      <c r="E679" s="5"/>
      <c r="F679" s="5"/>
    </row>
    <row r="680" spans="5:6" ht="13">
      <c r="E680" s="5"/>
      <c r="F680" s="5"/>
    </row>
    <row r="681" spans="5:6" ht="13">
      <c r="E681" s="5"/>
      <c r="F681" s="5"/>
    </row>
    <row r="682" spans="5:6" ht="13">
      <c r="E682" s="5"/>
      <c r="F682" s="5"/>
    </row>
    <row r="683" spans="5:6" ht="13">
      <c r="E683" s="5"/>
      <c r="F683" s="5"/>
    </row>
    <row r="684" spans="5:6" ht="13">
      <c r="E684" s="5"/>
      <c r="F684" s="5"/>
    </row>
    <row r="685" spans="5:6" ht="13">
      <c r="E685" s="5"/>
      <c r="F685" s="5"/>
    </row>
    <row r="686" spans="5:6" ht="13">
      <c r="E686" s="5"/>
      <c r="F686" s="5"/>
    </row>
    <row r="687" spans="5:6" ht="13">
      <c r="E687" s="5"/>
      <c r="F687" s="5"/>
    </row>
    <row r="688" spans="5:6" ht="13">
      <c r="E688" s="5"/>
      <c r="F688" s="5"/>
    </row>
    <row r="689" spans="5:6" ht="13">
      <c r="E689" s="5"/>
      <c r="F689" s="5"/>
    </row>
    <row r="690" spans="5:6" ht="13">
      <c r="E690" s="5"/>
      <c r="F690" s="5"/>
    </row>
    <row r="691" spans="5:6" ht="13">
      <c r="E691" s="5"/>
      <c r="F691" s="5"/>
    </row>
    <row r="692" spans="5:6" ht="13">
      <c r="E692" s="5"/>
      <c r="F692" s="5"/>
    </row>
    <row r="693" spans="5:6" ht="13">
      <c r="E693" s="5"/>
      <c r="F693" s="5"/>
    </row>
    <row r="694" spans="5:6" ht="13">
      <c r="E694" s="5"/>
      <c r="F694" s="5"/>
    </row>
    <row r="695" spans="5:6" ht="13">
      <c r="E695" s="5"/>
      <c r="F695" s="5"/>
    </row>
    <row r="696" spans="5:6" ht="13">
      <c r="E696" s="5"/>
      <c r="F696" s="5"/>
    </row>
    <row r="697" spans="5:6" ht="13">
      <c r="E697" s="5"/>
      <c r="F697" s="5"/>
    </row>
    <row r="698" spans="5:6" ht="13">
      <c r="E698" s="5"/>
      <c r="F698" s="5"/>
    </row>
    <row r="699" spans="5:6" ht="13">
      <c r="E699" s="5"/>
      <c r="F699" s="5"/>
    </row>
    <row r="700" spans="5:6" ht="13">
      <c r="E700" s="5"/>
      <c r="F700" s="5"/>
    </row>
    <row r="701" spans="5:6" ht="13">
      <c r="E701" s="5"/>
      <c r="F701" s="5"/>
    </row>
    <row r="702" spans="5:6" ht="13">
      <c r="E702" s="5"/>
      <c r="F702" s="5"/>
    </row>
    <row r="703" spans="5:6" ht="13">
      <c r="E703" s="5"/>
      <c r="F703" s="5"/>
    </row>
    <row r="704" spans="5:6" ht="13">
      <c r="E704" s="5"/>
      <c r="F704" s="5"/>
    </row>
    <row r="705" spans="5:6" ht="13">
      <c r="E705" s="5"/>
      <c r="F705" s="5"/>
    </row>
    <row r="706" spans="5:6" ht="13">
      <c r="E706" s="5"/>
      <c r="F706" s="5"/>
    </row>
    <row r="707" spans="5:6" ht="13">
      <c r="E707" s="5"/>
      <c r="F707" s="5"/>
    </row>
    <row r="708" spans="5:6" ht="13">
      <c r="E708" s="5"/>
      <c r="F708" s="5"/>
    </row>
    <row r="709" spans="5:6" ht="13">
      <c r="E709" s="5"/>
      <c r="F709" s="5"/>
    </row>
    <row r="710" spans="5:6" ht="13">
      <c r="E710" s="5"/>
      <c r="F710" s="5"/>
    </row>
    <row r="711" spans="5:6" ht="13">
      <c r="E711" s="5"/>
      <c r="F711" s="5"/>
    </row>
    <row r="712" spans="5:6" ht="13">
      <c r="E712" s="5"/>
      <c r="F712" s="5"/>
    </row>
    <row r="713" spans="5:6" ht="13">
      <c r="E713" s="5"/>
      <c r="F713" s="5"/>
    </row>
    <row r="714" spans="5:6" ht="13">
      <c r="E714" s="5"/>
      <c r="F714" s="5"/>
    </row>
    <row r="715" spans="5:6" ht="13">
      <c r="E715" s="5"/>
      <c r="F715" s="5"/>
    </row>
    <row r="716" spans="5:6" ht="13">
      <c r="E716" s="5"/>
      <c r="F716" s="5"/>
    </row>
    <row r="717" spans="5:6" ht="13">
      <c r="E717" s="5"/>
      <c r="F717" s="5"/>
    </row>
    <row r="718" spans="5:6" ht="13">
      <c r="E718" s="5"/>
      <c r="F718" s="5"/>
    </row>
    <row r="719" spans="5:6" ht="13">
      <c r="E719" s="5"/>
      <c r="F719" s="5"/>
    </row>
    <row r="720" spans="5:6" ht="13">
      <c r="E720" s="5"/>
      <c r="F720" s="5"/>
    </row>
    <row r="721" spans="5:6" ht="13">
      <c r="E721" s="5"/>
      <c r="F721" s="5"/>
    </row>
    <row r="722" spans="5:6" ht="13">
      <c r="E722" s="5"/>
      <c r="F722" s="5"/>
    </row>
    <row r="723" spans="5:6" ht="13">
      <c r="E723" s="5"/>
      <c r="F723" s="5"/>
    </row>
    <row r="724" spans="5:6" ht="13">
      <c r="E724" s="5"/>
      <c r="F724" s="5"/>
    </row>
    <row r="725" spans="5:6" ht="13">
      <c r="E725" s="5"/>
      <c r="F725" s="5"/>
    </row>
    <row r="726" spans="5:6" ht="13">
      <c r="E726" s="5"/>
      <c r="F726" s="5"/>
    </row>
    <row r="727" spans="5:6" ht="13">
      <c r="E727" s="5"/>
      <c r="F727" s="5"/>
    </row>
    <row r="728" spans="5:6" ht="13">
      <c r="E728" s="5"/>
      <c r="F728" s="5"/>
    </row>
    <row r="729" spans="5:6" ht="13">
      <c r="E729" s="5"/>
      <c r="F729" s="5"/>
    </row>
    <row r="730" spans="5:6" ht="13">
      <c r="E730" s="5"/>
      <c r="F730" s="5"/>
    </row>
    <row r="731" spans="5:6" ht="13">
      <c r="E731" s="5"/>
      <c r="F731" s="5"/>
    </row>
    <row r="732" spans="5:6" ht="13">
      <c r="E732" s="5"/>
      <c r="F732" s="5"/>
    </row>
    <row r="733" spans="5:6" ht="13">
      <c r="E733" s="5"/>
      <c r="F733" s="5"/>
    </row>
    <row r="734" spans="5:6" ht="13">
      <c r="E734" s="5"/>
      <c r="F734" s="5"/>
    </row>
    <row r="735" spans="5:6" ht="13">
      <c r="E735" s="5"/>
      <c r="F735" s="5"/>
    </row>
    <row r="736" spans="5:6" ht="13">
      <c r="E736" s="5"/>
      <c r="F736" s="5"/>
    </row>
    <row r="737" spans="5:6" ht="13">
      <c r="E737" s="5"/>
      <c r="F737" s="5"/>
    </row>
    <row r="738" spans="5:6" ht="13">
      <c r="E738" s="5"/>
      <c r="F738" s="5"/>
    </row>
    <row r="739" spans="5:6" ht="13">
      <c r="E739" s="5"/>
      <c r="F739" s="5"/>
    </row>
    <row r="740" spans="5:6" ht="13">
      <c r="E740" s="5"/>
      <c r="F740" s="5"/>
    </row>
    <row r="741" spans="5:6" ht="13">
      <c r="E741" s="5"/>
      <c r="F741" s="5"/>
    </row>
    <row r="742" spans="5:6" ht="13">
      <c r="E742" s="5"/>
      <c r="F742" s="5"/>
    </row>
    <row r="743" spans="5:6" ht="13">
      <c r="E743" s="5"/>
      <c r="F743" s="5"/>
    </row>
    <row r="744" spans="5:6" ht="13">
      <c r="E744" s="5"/>
      <c r="F744" s="5"/>
    </row>
    <row r="745" spans="5:6" ht="13">
      <c r="E745" s="5"/>
      <c r="F745" s="5"/>
    </row>
    <row r="746" spans="5:6" ht="13">
      <c r="E746" s="5"/>
      <c r="F746" s="5"/>
    </row>
    <row r="747" spans="5:6" ht="13">
      <c r="E747" s="5"/>
      <c r="F747" s="5"/>
    </row>
    <row r="748" spans="5:6" ht="13">
      <c r="E748" s="5"/>
      <c r="F748" s="5"/>
    </row>
    <row r="749" spans="5:6" ht="13">
      <c r="E749" s="5"/>
      <c r="F749" s="5"/>
    </row>
    <row r="750" spans="5:6" ht="13">
      <c r="E750" s="5"/>
      <c r="F750" s="5"/>
    </row>
    <row r="751" spans="5:6" ht="13">
      <c r="E751" s="5"/>
      <c r="F751" s="5"/>
    </row>
    <row r="752" spans="5:6" ht="13">
      <c r="E752" s="5"/>
      <c r="F752" s="5"/>
    </row>
    <row r="753" spans="5:6" ht="13">
      <c r="E753" s="5"/>
      <c r="F753" s="5"/>
    </row>
    <row r="754" spans="5:6" ht="13">
      <c r="E754" s="5"/>
      <c r="F754" s="5"/>
    </row>
    <row r="755" spans="5:6" ht="13">
      <c r="E755" s="5"/>
      <c r="F755" s="5"/>
    </row>
    <row r="756" spans="5:6" ht="13">
      <c r="E756" s="5"/>
      <c r="F756" s="5"/>
    </row>
    <row r="757" spans="5:6" ht="13">
      <c r="E757" s="5"/>
      <c r="F757" s="5"/>
    </row>
    <row r="758" spans="5:6" ht="13">
      <c r="E758" s="5"/>
      <c r="F758" s="5"/>
    </row>
    <row r="759" spans="5:6" ht="13">
      <c r="E759" s="5"/>
      <c r="F759" s="5"/>
    </row>
    <row r="760" spans="5:6" ht="13">
      <c r="E760" s="5"/>
      <c r="F760" s="5"/>
    </row>
    <row r="761" spans="5:6" ht="13">
      <c r="E761" s="5"/>
      <c r="F761" s="5"/>
    </row>
    <row r="762" spans="5:6" ht="13">
      <c r="E762" s="5"/>
      <c r="F762" s="5"/>
    </row>
    <row r="763" spans="5:6" ht="13">
      <c r="E763" s="5"/>
      <c r="F763" s="5"/>
    </row>
    <row r="764" spans="5:6" ht="13">
      <c r="E764" s="5"/>
      <c r="F764" s="5"/>
    </row>
    <row r="765" spans="5:6" ht="13">
      <c r="E765" s="5"/>
      <c r="F765" s="5"/>
    </row>
    <row r="766" spans="5:6" ht="13">
      <c r="E766" s="5"/>
      <c r="F766" s="5"/>
    </row>
    <row r="767" spans="5:6" ht="13">
      <c r="E767" s="5"/>
      <c r="F767" s="5"/>
    </row>
    <row r="768" spans="5:6" ht="13">
      <c r="E768" s="5"/>
      <c r="F768" s="5"/>
    </row>
    <row r="769" spans="5:6" ht="13">
      <c r="E769" s="5"/>
      <c r="F769" s="5"/>
    </row>
    <row r="770" spans="5:6" ht="13">
      <c r="E770" s="5"/>
      <c r="F770" s="5"/>
    </row>
    <row r="771" spans="5:6" ht="13">
      <c r="E771" s="5"/>
      <c r="F771" s="5"/>
    </row>
    <row r="772" spans="5:6" ht="13">
      <c r="E772" s="5"/>
      <c r="F772" s="5"/>
    </row>
    <row r="773" spans="5:6" ht="13">
      <c r="E773" s="5"/>
      <c r="F773" s="5"/>
    </row>
    <row r="774" spans="5:6" ht="13">
      <c r="E774" s="5"/>
      <c r="F774" s="5"/>
    </row>
    <row r="775" spans="5:6" ht="13">
      <c r="E775" s="5"/>
      <c r="F775" s="5"/>
    </row>
    <row r="776" spans="5:6" ht="13">
      <c r="E776" s="5"/>
      <c r="F776" s="5"/>
    </row>
    <row r="777" spans="5:6" ht="13">
      <c r="E777" s="5"/>
      <c r="F777" s="5"/>
    </row>
    <row r="778" spans="5:6" ht="13">
      <c r="E778" s="5"/>
      <c r="F778" s="5"/>
    </row>
    <row r="779" spans="5:6" ht="13">
      <c r="E779" s="5"/>
      <c r="F779" s="5"/>
    </row>
    <row r="780" spans="5:6" ht="13">
      <c r="E780" s="5"/>
      <c r="F780" s="5"/>
    </row>
    <row r="781" spans="5:6" ht="13">
      <c r="E781" s="5"/>
      <c r="F781" s="5"/>
    </row>
    <row r="782" spans="5:6" ht="13">
      <c r="E782" s="5"/>
      <c r="F782" s="5"/>
    </row>
    <row r="783" spans="5:6" ht="13">
      <c r="E783" s="5"/>
      <c r="F783" s="5"/>
    </row>
    <row r="784" spans="5:6" ht="13">
      <c r="E784" s="5"/>
      <c r="F784" s="5"/>
    </row>
    <row r="785" spans="5:6" ht="13">
      <c r="E785" s="5"/>
      <c r="F785" s="5"/>
    </row>
    <row r="786" spans="5:6" ht="13">
      <c r="E786" s="5"/>
      <c r="F786" s="5"/>
    </row>
    <row r="787" spans="5:6" ht="13">
      <c r="E787" s="5"/>
      <c r="F787" s="5"/>
    </row>
    <row r="788" spans="5:6" ht="13">
      <c r="E788" s="5"/>
      <c r="F788" s="5"/>
    </row>
    <row r="789" spans="5:6" ht="13">
      <c r="E789" s="5"/>
      <c r="F789" s="5"/>
    </row>
    <row r="790" spans="5:6" ht="13">
      <c r="E790" s="5"/>
      <c r="F790" s="5"/>
    </row>
    <row r="791" spans="5:6" ht="13">
      <c r="E791" s="5"/>
      <c r="F791" s="5"/>
    </row>
    <row r="792" spans="5:6" ht="13">
      <c r="E792" s="5"/>
      <c r="F792" s="5"/>
    </row>
    <row r="793" spans="5:6" ht="13">
      <c r="E793" s="5"/>
      <c r="F793" s="5"/>
    </row>
    <row r="794" spans="5:6" ht="13">
      <c r="E794" s="5"/>
      <c r="F794" s="5"/>
    </row>
    <row r="795" spans="5:6" ht="13">
      <c r="E795" s="5"/>
      <c r="F795" s="5"/>
    </row>
    <row r="796" spans="5:6" ht="13">
      <c r="E796" s="5"/>
      <c r="F796" s="5"/>
    </row>
    <row r="797" spans="5:6" ht="13">
      <c r="E797" s="5"/>
      <c r="F797" s="5"/>
    </row>
    <row r="798" spans="5:6" ht="13">
      <c r="E798" s="5"/>
      <c r="F798" s="5"/>
    </row>
    <row r="799" spans="5:6" ht="13">
      <c r="E799" s="5"/>
      <c r="F799" s="5"/>
    </row>
    <row r="800" spans="5:6" ht="13">
      <c r="E800" s="5"/>
      <c r="F800" s="5"/>
    </row>
    <row r="801" spans="5:6" ht="13">
      <c r="E801" s="5"/>
      <c r="F801" s="5"/>
    </row>
    <row r="802" spans="5:6" ht="13">
      <c r="E802" s="5"/>
      <c r="F802" s="5"/>
    </row>
    <row r="803" spans="5:6" ht="13">
      <c r="E803" s="5"/>
      <c r="F803" s="5"/>
    </row>
    <row r="804" spans="5:6" ht="13">
      <c r="E804" s="5"/>
      <c r="F804" s="5"/>
    </row>
    <row r="805" spans="5:6" ht="13">
      <c r="E805" s="5"/>
      <c r="F805" s="5"/>
    </row>
    <row r="806" spans="5:6" ht="13">
      <c r="E806" s="5"/>
      <c r="F806" s="5"/>
    </row>
    <row r="807" spans="5:6" ht="13">
      <c r="E807" s="5"/>
      <c r="F807" s="5"/>
    </row>
    <row r="808" spans="5:6" ht="13">
      <c r="E808" s="5"/>
      <c r="F808" s="5"/>
    </row>
    <row r="809" spans="5:6" ht="13">
      <c r="E809" s="5"/>
      <c r="F809" s="5"/>
    </row>
    <row r="810" spans="5:6" ht="13">
      <c r="E810" s="5"/>
      <c r="F810" s="5"/>
    </row>
    <row r="811" spans="5:6" ht="13">
      <c r="E811" s="5"/>
      <c r="F811" s="5"/>
    </row>
    <row r="812" spans="5:6" ht="13">
      <c r="E812" s="5"/>
      <c r="F812" s="5"/>
    </row>
    <row r="813" spans="5:6" ht="13">
      <c r="E813" s="5"/>
      <c r="F813" s="5"/>
    </row>
    <row r="814" spans="5:6" ht="13">
      <c r="E814" s="5"/>
      <c r="F814" s="5"/>
    </row>
    <row r="815" spans="5:6" ht="13">
      <c r="E815" s="5"/>
      <c r="F815" s="5"/>
    </row>
    <row r="816" spans="5:6" ht="13">
      <c r="E816" s="5"/>
      <c r="F816" s="5"/>
    </row>
    <row r="817" spans="5:6" ht="13">
      <c r="E817" s="5"/>
      <c r="F817" s="5"/>
    </row>
    <row r="818" spans="5:6" ht="13">
      <c r="E818" s="5"/>
      <c r="F818" s="5"/>
    </row>
    <row r="819" spans="5:6" ht="13">
      <c r="E819" s="5"/>
      <c r="F819" s="5"/>
    </row>
    <row r="820" spans="5:6" ht="13">
      <c r="E820" s="5"/>
      <c r="F820" s="5"/>
    </row>
    <row r="821" spans="5:6" ht="13">
      <c r="E821" s="5"/>
      <c r="F821" s="5"/>
    </row>
    <row r="822" spans="5:6" ht="13">
      <c r="E822" s="5"/>
      <c r="F822" s="5"/>
    </row>
    <row r="823" spans="5:6" ht="13">
      <c r="E823" s="5"/>
      <c r="F823" s="5"/>
    </row>
    <row r="824" spans="5:6" ht="13">
      <c r="E824" s="5"/>
      <c r="F824" s="5"/>
    </row>
    <row r="825" spans="5:6" ht="13">
      <c r="E825" s="5"/>
      <c r="F825" s="5"/>
    </row>
    <row r="826" spans="5:6" ht="13">
      <c r="E826" s="5"/>
      <c r="F826" s="5"/>
    </row>
    <row r="827" spans="5:6" ht="13">
      <c r="E827" s="5"/>
      <c r="F827" s="5"/>
    </row>
    <row r="828" spans="5:6" ht="13">
      <c r="E828" s="5"/>
      <c r="F828" s="5"/>
    </row>
    <row r="829" spans="5:6" ht="13">
      <c r="E829" s="5"/>
      <c r="F829" s="5"/>
    </row>
    <row r="830" spans="5:6" ht="13">
      <c r="E830" s="5"/>
      <c r="F830" s="5"/>
    </row>
    <row r="831" spans="5:6" ht="13">
      <c r="E831" s="5"/>
      <c r="F831" s="5"/>
    </row>
    <row r="832" spans="5:6" ht="13">
      <c r="E832" s="5"/>
      <c r="F832" s="5"/>
    </row>
    <row r="833" spans="5:6" ht="13">
      <c r="E833" s="5"/>
      <c r="F833" s="5"/>
    </row>
    <row r="834" spans="5:6" ht="13">
      <c r="E834" s="5"/>
      <c r="F834" s="5"/>
    </row>
    <row r="835" spans="5:6" ht="13">
      <c r="E835" s="5"/>
      <c r="F835" s="5"/>
    </row>
    <row r="836" spans="5:6" ht="13">
      <c r="E836" s="5"/>
      <c r="F836" s="5"/>
    </row>
    <row r="837" spans="5:6" ht="13">
      <c r="E837" s="5"/>
      <c r="F837" s="5"/>
    </row>
    <row r="838" spans="5:6" ht="13">
      <c r="E838" s="5"/>
      <c r="F838" s="5"/>
    </row>
    <row r="839" spans="5:6" ht="13">
      <c r="E839" s="5"/>
      <c r="F839" s="5"/>
    </row>
    <row r="840" spans="5:6" ht="13">
      <c r="E840" s="5"/>
      <c r="F840" s="5"/>
    </row>
    <row r="841" spans="5:6" ht="13">
      <c r="E841" s="5"/>
      <c r="F841" s="5"/>
    </row>
    <row r="842" spans="5:6" ht="13">
      <c r="E842" s="5"/>
      <c r="F842" s="5"/>
    </row>
    <row r="843" spans="5:6" ht="13">
      <c r="E843" s="5"/>
      <c r="F843" s="5"/>
    </row>
    <row r="844" spans="5:6" ht="13">
      <c r="E844" s="5"/>
      <c r="F844" s="5"/>
    </row>
    <row r="845" spans="5:6" ht="13">
      <c r="E845" s="5"/>
      <c r="F845" s="5"/>
    </row>
    <row r="846" spans="5:6" ht="13">
      <c r="E846" s="5"/>
      <c r="F846" s="5"/>
    </row>
    <row r="847" spans="5:6" ht="13">
      <c r="E847" s="5"/>
      <c r="F847" s="5"/>
    </row>
    <row r="848" spans="5:6" ht="13">
      <c r="E848" s="5"/>
      <c r="F848" s="5"/>
    </row>
    <row r="849" spans="5:6" ht="13">
      <c r="E849" s="5"/>
      <c r="F849" s="5"/>
    </row>
    <row r="850" spans="5:6" ht="13">
      <c r="E850" s="5"/>
      <c r="F850" s="5"/>
    </row>
    <row r="851" spans="5:6" ht="13">
      <c r="E851" s="5"/>
      <c r="F851" s="5"/>
    </row>
    <row r="852" spans="5:6" ht="13">
      <c r="E852" s="5"/>
      <c r="F852" s="5"/>
    </row>
    <row r="853" spans="5:6" ht="13">
      <c r="E853" s="5"/>
      <c r="F853" s="5"/>
    </row>
    <row r="854" spans="5:6" ht="13">
      <c r="E854" s="5"/>
      <c r="F854" s="5"/>
    </row>
    <row r="855" spans="5:6" ht="13">
      <c r="E855" s="5"/>
      <c r="F855" s="5"/>
    </row>
    <row r="856" spans="5:6" ht="13">
      <c r="E856" s="5"/>
      <c r="F856" s="5"/>
    </row>
    <row r="857" spans="5:6" ht="13">
      <c r="E857" s="5"/>
      <c r="F857" s="5"/>
    </row>
    <row r="858" spans="5:6" ht="13">
      <c r="E858" s="5"/>
      <c r="F858" s="5"/>
    </row>
    <row r="859" spans="5:6" ht="13">
      <c r="E859" s="5"/>
      <c r="F859" s="5"/>
    </row>
    <row r="860" spans="5:6" ht="13">
      <c r="E860" s="5"/>
      <c r="F860" s="5"/>
    </row>
    <row r="861" spans="5:6" ht="13">
      <c r="E861" s="5"/>
      <c r="F861" s="5"/>
    </row>
    <row r="862" spans="5:6" ht="13">
      <c r="E862" s="5"/>
      <c r="F862" s="5"/>
    </row>
    <row r="863" spans="5:6" ht="13">
      <c r="E863" s="5"/>
      <c r="F863" s="5"/>
    </row>
    <row r="864" spans="5:6" ht="13">
      <c r="E864" s="5"/>
      <c r="F864" s="5"/>
    </row>
    <row r="865" spans="5:6" ht="13">
      <c r="E865" s="5"/>
      <c r="F865" s="5"/>
    </row>
    <row r="866" spans="5:6" ht="13">
      <c r="E866" s="5"/>
      <c r="F866" s="5"/>
    </row>
    <row r="867" spans="5:6" ht="13">
      <c r="E867" s="5"/>
      <c r="F867" s="5"/>
    </row>
    <row r="868" spans="5:6" ht="13">
      <c r="E868" s="5"/>
      <c r="F868" s="5"/>
    </row>
    <row r="869" spans="5:6" ht="13">
      <c r="E869" s="5"/>
      <c r="F869" s="5"/>
    </row>
    <row r="870" spans="5:6" ht="13">
      <c r="E870" s="5"/>
      <c r="F870" s="5"/>
    </row>
    <row r="871" spans="5:6" ht="13">
      <c r="E871" s="5"/>
      <c r="F871" s="5"/>
    </row>
    <row r="872" spans="5:6" ht="13">
      <c r="E872" s="5"/>
      <c r="F872" s="5"/>
    </row>
    <row r="873" spans="5:6" ht="13">
      <c r="E873" s="5"/>
      <c r="F873" s="5"/>
    </row>
    <row r="874" spans="5:6" ht="13">
      <c r="E874" s="5"/>
      <c r="F874" s="5"/>
    </row>
    <row r="875" spans="5:6" ht="13">
      <c r="E875" s="5"/>
      <c r="F875" s="5"/>
    </row>
    <row r="876" spans="5:6" ht="13">
      <c r="E876" s="5"/>
      <c r="F876" s="5"/>
    </row>
    <row r="877" spans="5:6" ht="13">
      <c r="E877" s="5"/>
      <c r="F877" s="5"/>
    </row>
    <row r="878" spans="5:6" ht="13">
      <c r="E878" s="5"/>
      <c r="F878" s="5"/>
    </row>
    <row r="879" spans="5:6" ht="13">
      <c r="E879" s="5"/>
      <c r="F879" s="5"/>
    </row>
    <row r="880" spans="5:6" ht="13">
      <c r="E880" s="5"/>
      <c r="F880" s="5"/>
    </row>
    <row r="881" spans="5:6" ht="13">
      <c r="E881" s="5"/>
      <c r="F881" s="5"/>
    </row>
    <row r="882" spans="5:6" ht="13">
      <c r="E882" s="5"/>
      <c r="F882" s="5"/>
    </row>
    <row r="883" spans="5:6" ht="13">
      <c r="E883" s="5"/>
      <c r="F883" s="5"/>
    </row>
    <row r="884" spans="5:6" ht="13">
      <c r="E884" s="5"/>
      <c r="F884" s="5"/>
    </row>
    <row r="885" spans="5:6" ht="13">
      <c r="E885" s="5"/>
      <c r="F885" s="5"/>
    </row>
    <row r="886" spans="5:6" ht="13">
      <c r="E886" s="5"/>
      <c r="F886" s="5"/>
    </row>
    <row r="887" spans="5:6" ht="13">
      <c r="E887" s="5"/>
      <c r="F887" s="5"/>
    </row>
    <row r="888" spans="5:6" ht="13">
      <c r="E888" s="5"/>
      <c r="F888" s="5"/>
    </row>
    <row r="889" spans="5:6" ht="13">
      <c r="E889" s="5"/>
      <c r="F889" s="5"/>
    </row>
    <row r="890" spans="5:6" ht="13">
      <c r="E890" s="5"/>
      <c r="F890" s="5"/>
    </row>
    <row r="891" spans="5:6" ht="13">
      <c r="E891" s="5"/>
      <c r="F891" s="5"/>
    </row>
    <row r="892" spans="5:6" ht="13">
      <c r="E892" s="5"/>
      <c r="F892" s="5"/>
    </row>
    <row r="893" spans="5:6" ht="13">
      <c r="E893" s="5"/>
      <c r="F893" s="5"/>
    </row>
    <row r="894" spans="5:6" ht="13">
      <c r="E894" s="5"/>
      <c r="F894" s="5"/>
    </row>
    <row r="895" spans="5:6" ht="13">
      <c r="E895" s="5"/>
      <c r="F895" s="5"/>
    </row>
    <row r="896" spans="5:6" ht="13">
      <c r="E896" s="5"/>
      <c r="F896" s="5"/>
    </row>
    <row r="897" spans="5:6" ht="13">
      <c r="E897" s="5"/>
      <c r="F897" s="5"/>
    </row>
    <row r="898" spans="5:6" ht="13">
      <c r="E898" s="5"/>
      <c r="F898" s="5"/>
    </row>
    <row r="899" spans="5:6" ht="13">
      <c r="E899" s="5"/>
      <c r="F899" s="5"/>
    </row>
    <row r="900" spans="5:6" ht="13">
      <c r="E900" s="5"/>
      <c r="F900" s="5"/>
    </row>
    <row r="901" spans="5:6" ht="13">
      <c r="E901" s="5"/>
      <c r="F901" s="5"/>
    </row>
    <row r="902" spans="5:6" ht="13">
      <c r="E902" s="5"/>
      <c r="F902" s="5"/>
    </row>
    <row r="903" spans="5:6" ht="13">
      <c r="E903" s="5"/>
      <c r="F903" s="5"/>
    </row>
    <row r="904" spans="5:6" ht="13">
      <c r="E904" s="5"/>
      <c r="F904" s="5"/>
    </row>
    <row r="905" spans="5:6" ht="13">
      <c r="E905" s="5"/>
      <c r="F905" s="5"/>
    </row>
    <row r="906" spans="5:6" ht="13">
      <c r="E906" s="5"/>
      <c r="F906" s="5"/>
    </row>
    <row r="907" spans="5:6" ht="13">
      <c r="E907" s="5"/>
      <c r="F907" s="5"/>
    </row>
    <row r="908" spans="5:6" ht="13">
      <c r="E908" s="5"/>
      <c r="F908" s="5"/>
    </row>
    <row r="909" spans="5:6" ht="13">
      <c r="E909" s="5"/>
      <c r="F909" s="5"/>
    </row>
    <row r="910" spans="5:6" ht="13">
      <c r="E910" s="5"/>
      <c r="F910" s="5"/>
    </row>
    <row r="911" spans="5:6" ht="13">
      <c r="E911" s="5"/>
      <c r="F911" s="5"/>
    </row>
    <row r="912" spans="5:6" ht="13">
      <c r="E912" s="5"/>
      <c r="F912" s="5"/>
    </row>
    <row r="913" spans="5:6" ht="13">
      <c r="E913" s="5"/>
      <c r="F913" s="5"/>
    </row>
    <row r="914" spans="5:6" ht="13">
      <c r="E914" s="5"/>
      <c r="F914" s="5"/>
    </row>
    <row r="915" spans="5:6" ht="13">
      <c r="E915" s="5"/>
      <c r="F915" s="5"/>
    </row>
    <row r="916" spans="5:6" ht="13">
      <c r="E916" s="5"/>
      <c r="F916" s="5"/>
    </row>
    <row r="917" spans="5:6" ht="13">
      <c r="E917" s="5"/>
      <c r="F917" s="5"/>
    </row>
    <row r="918" spans="5:6" ht="13">
      <c r="E918" s="5"/>
      <c r="F918" s="5"/>
    </row>
    <row r="919" spans="5:6" ht="13">
      <c r="E919" s="5"/>
      <c r="F919" s="5"/>
    </row>
    <row r="920" spans="5:6" ht="13">
      <c r="E920" s="5"/>
      <c r="F920" s="5"/>
    </row>
    <row r="921" spans="5:6" ht="13">
      <c r="E921" s="5"/>
      <c r="F921" s="5"/>
    </row>
    <row r="922" spans="5:6" ht="13">
      <c r="E922" s="5"/>
      <c r="F922" s="5"/>
    </row>
    <row r="923" spans="5:6" ht="13">
      <c r="E923" s="5"/>
      <c r="F923" s="5"/>
    </row>
    <row r="924" spans="5:6" ht="13">
      <c r="E924" s="5"/>
      <c r="F924" s="5"/>
    </row>
    <row r="925" spans="5:6" ht="13">
      <c r="E925" s="5"/>
      <c r="F925" s="5"/>
    </row>
    <row r="926" spans="5:6" ht="13">
      <c r="E926" s="5"/>
      <c r="F926" s="5"/>
    </row>
    <row r="927" spans="5:6" ht="13">
      <c r="E927" s="5"/>
      <c r="F927" s="5"/>
    </row>
    <row r="928" spans="5:6" ht="13">
      <c r="E928" s="5"/>
      <c r="F928" s="5"/>
    </row>
    <row r="929" spans="5:6" ht="13">
      <c r="E929" s="5"/>
      <c r="F929" s="5"/>
    </row>
    <row r="930" spans="5:6" ht="13">
      <c r="E930" s="5"/>
      <c r="F930" s="5"/>
    </row>
    <row r="931" spans="5:6" ht="13">
      <c r="E931" s="5"/>
      <c r="F931" s="5"/>
    </row>
    <row r="932" spans="5:6" ht="13">
      <c r="E932" s="5"/>
      <c r="F932" s="5"/>
    </row>
    <row r="933" spans="5:6" ht="13">
      <c r="E933" s="5"/>
      <c r="F933" s="5"/>
    </row>
    <row r="934" spans="5:6" ht="13">
      <c r="E934" s="5"/>
      <c r="F934" s="5"/>
    </row>
    <row r="935" spans="5:6" ht="13">
      <c r="E935" s="5"/>
      <c r="F935" s="5"/>
    </row>
    <row r="936" spans="5:6" ht="13">
      <c r="E936" s="5"/>
      <c r="F936" s="5"/>
    </row>
    <row r="937" spans="5:6" ht="13">
      <c r="E937" s="5"/>
      <c r="F937" s="5"/>
    </row>
    <row r="938" spans="5:6" ht="13">
      <c r="E938" s="5"/>
      <c r="F938" s="5"/>
    </row>
    <row r="939" spans="5:6" ht="13">
      <c r="E939" s="5"/>
      <c r="F939" s="5"/>
    </row>
    <row r="940" spans="5:6" ht="13">
      <c r="E940" s="5"/>
      <c r="F940" s="5"/>
    </row>
    <row r="941" spans="5:6" ht="13">
      <c r="E941" s="5"/>
      <c r="F941" s="5"/>
    </row>
    <row r="942" spans="5:6" ht="13">
      <c r="E942" s="5"/>
      <c r="F942" s="5"/>
    </row>
    <row r="943" spans="5:6" ht="13">
      <c r="E943" s="5"/>
      <c r="F943" s="5"/>
    </row>
    <row r="944" spans="5:6" ht="13">
      <c r="E944" s="5"/>
      <c r="F944" s="5"/>
    </row>
    <row r="945" spans="5:6" ht="13">
      <c r="E945" s="5"/>
      <c r="F945" s="5"/>
    </row>
    <row r="946" spans="5:6" ht="13">
      <c r="E946" s="5"/>
      <c r="F946" s="5"/>
    </row>
    <row r="947" spans="5:6" ht="13">
      <c r="E947" s="5"/>
      <c r="F947" s="5"/>
    </row>
    <row r="948" spans="5:6" ht="13">
      <c r="E948" s="5"/>
      <c r="F948" s="5"/>
    </row>
    <row r="949" spans="5:6" ht="13">
      <c r="E949" s="5"/>
      <c r="F949" s="5"/>
    </row>
    <row r="950" spans="5:6" ht="13">
      <c r="E950" s="5"/>
      <c r="F950" s="5"/>
    </row>
    <row r="951" spans="5:6" ht="13">
      <c r="E951" s="5"/>
      <c r="F951" s="5"/>
    </row>
    <row r="952" spans="5:6" ht="13">
      <c r="E952" s="5"/>
      <c r="F952" s="5"/>
    </row>
    <row r="953" spans="5:6" ht="13">
      <c r="E953" s="5"/>
      <c r="F953" s="5"/>
    </row>
    <row r="954" spans="5:6" ht="13">
      <c r="E954" s="5"/>
      <c r="F954" s="5"/>
    </row>
    <row r="955" spans="5:6" ht="13">
      <c r="E955" s="5"/>
      <c r="F955" s="5"/>
    </row>
    <row r="956" spans="5:6" ht="13">
      <c r="E956" s="5"/>
      <c r="F956" s="5"/>
    </row>
    <row r="957" spans="5:6" ht="13">
      <c r="E957" s="5"/>
      <c r="F957" s="5"/>
    </row>
    <row r="958" spans="5:6" ht="13">
      <c r="E958" s="5"/>
      <c r="F958" s="5"/>
    </row>
    <row r="959" spans="5:6" ht="13">
      <c r="E959" s="5"/>
      <c r="F959" s="5"/>
    </row>
    <row r="960" spans="5:6" ht="13">
      <c r="E960" s="5"/>
      <c r="F960" s="5"/>
    </row>
    <row r="961" spans="5:6" ht="13">
      <c r="E961" s="5"/>
      <c r="F961" s="5"/>
    </row>
    <row r="962" spans="5:6" ht="13">
      <c r="E962" s="5"/>
      <c r="F962" s="5"/>
    </row>
    <row r="963" spans="5:6" ht="13">
      <c r="E963" s="5"/>
      <c r="F963" s="5"/>
    </row>
    <row r="964" spans="5:6" ht="13">
      <c r="E964" s="5"/>
      <c r="F964" s="5"/>
    </row>
    <row r="965" spans="5:6" ht="13">
      <c r="E965" s="5"/>
      <c r="F965" s="5"/>
    </row>
    <row r="966" spans="5:6" ht="13">
      <c r="E966" s="5"/>
      <c r="F966" s="5"/>
    </row>
    <row r="967" spans="5:6" ht="13">
      <c r="E967" s="5"/>
      <c r="F967" s="5"/>
    </row>
    <row r="968" spans="5:6" ht="13">
      <c r="E968" s="5"/>
      <c r="F968" s="5"/>
    </row>
    <row r="969" spans="5:6" ht="13">
      <c r="E969" s="5"/>
      <c r="F969" s="5"/>
    </row>
    <row r="970" spans="5:6" ht="13">
      <c r="E970" s="5"/>
      <c r="F970" s="5"/>
    </row>
    <row r="971" spans="5:6" ht="13">
      <c r="E971" s="5"/>
      <c r="F971" s="5"/>
    </row>
    <row r="972" spans="5:6" ht="13">
      <c r="E972" s="5"/>
      <c r="F972" s="5"/>
    </row>
    <row r="973" spans="5:6" ht="13">
      <c r="E973" s="5"/>
      <c r="F973" s="5"/>
    </row>
    <row r="974" spans="5:6" ht="13">
      <c r="E974" s="5"/>
      <c r="F974" s="5"/>
    </row>
    <row r="975" spans="5:6" ht="13">
      <c r="E975" s="5"/>
      <c r="F975" s="5"/>
    </row>
    <row r="976" spans="5:6" ht="13">
      <c r="E976" s="5"/>
      <c r="F976" s="5"/>
    </row>
    <row r="977" spans="5:6" ht="13">
      <c r="E977" s="5"/>
      <c r="F977" s="5"/>
    </row>
    <row r="978" spans="5:6" ht="13">
      <c r="E978" s="5"/>
      <c r="F978" s="5"/>
    </row>
    <row r="979" spans="5:6" ht="13">
      <c r="E979" s="5"/>
      <c r="F979" s="5"/>
    </row>
    <row r="980" spans="5:6" ht="13">
      <c r="E980" s="5"/>
      <c r="F980" s="5"/>
    </row>
    <row r="981" spans="5:6" ht="13">
      <c r="E981" s="5"/>
      <c r="F981" s="5"/>
    </row>
    <row r="982" spans="5:6" ht="13">
      <c r="E982" s="5"/>
      <c r="F982" s="5"/>
    </row>
    <row r="983" spans="5:6" ht="13">
      <c r="E983" s="5"/>
      <c r="F983" s="5"/>
    </row>
    <row r="984" spans="5:6" ht="13">
      <c r="E984" s="5"/>
      <c r="F984" s="5"/>
    </row>
    <row r="985" spans="5:6" ht="13">
      <c r="E985" s="5"/>
      <c r="F985" s="5"/>
    </row>
    <row r="986" spans="5:6" ht="13">
      <c r="E986" s="5"/>
      <c r="F986" s="5"/>
    </row>
    <row r="987" spans="5:6" ht="13">
      <c r="E987" s="5"/>
      <c r="F987" s="5"/>
    </row>
    <row r="988" spans="5:6" ht="13">
      <c r="E988" s="5"/>
      <c r="F988" s="5"/>
    </row>
    <row r="989" spans="5:6" ht="13">
      <c r="E989" s="5"/>
      <c r="F989" s="5"/>
    </row>
    <row r="990" spans="5:6" ht="13">
      <c r="E990" s="5"/>
      <c r="F990" s="5"/>
    </row>
    <row r="991" spans="5:6" ht="13">
      <c r="E991" s="5"/>
      <c r="F991" s="5"/>
    </row>
    <row r="992" spans="5:6" ht="13">
      <c r="E992" s="5"/>
      <c r="F992" s="5"/>
    </row>
    <row r="993" spans="5:6" ht="13">
      <c r="E993" s="5"/>
      <c r="F993" s="5"/>
    </row>
    <row r="994" spans="5:6" ht="13">
      <c r="E994" s="5"/>
      <c r="F994" s="5"/>
    </row>
    <row r="995" spans="5:6" ht="13">
      <c r="E995" s="5"/>
      <c r="F995" s="5"/>
    </row>
    <row r="996" spans="5:6" ht="13">
      <c r="E996" s="5"/>
      <c r="F996" s="5"/>
    </row>
    <row r="997" spans="5:6" ht="13">
      <c r="E997" s="5"/>
      <c r="F997" s="5"/>
    </row>
    <row r="998" spans="5:6" ht="13">
      <c r="E998" s="5"/>
      <c r="F998" s="5"/>
    </row>
    <row r="999" spans="5:6" ht="13">
      <c r="E999" s="5"/>
      <c r="F999" s="5"/>
    </row>
    <row r="1000" spans="5:6" ht="13">
      <c r="E1000" s="5"/>
      <c r="F1000" s="5"/>
    </row>
    <row r="1001" spans="5:6" ht="13">
      <c r="E1001" s="5"/>
      <c r="F1001" s="5"/>
    </row>
    <row r="1002" spans="5:6" ht="13">
      <c r="E1002" s="5"/>
      <c r="F1002" s="5"/>
    </row>
    <row r="1003" spans="5:6" ht="13">
      <c r="E1003" s="5"/>
      <c r="F1003" s="5"/>
    </row>
  </sheetData>
  <mergeCells count="6">
    <mergeCell ref="A123:C123"/>
    <mergeCell ref="A3:C3"/>
    <mergeCell ref="A27:C27"/>
    <mergeCell ref="A51:C51"/>
    <mergeCell ref="A75:C75"/>
    <mergeCell ref="A99:C99"/>
  </mergeCells>
  <hyperlinks>
    <hyperlink ref="A1" location="Index!A1" display="Index" xr:uid="{00000000-0004-0000-1A00-00000000000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outlinePr summaryBelow="0" summaryRight="0"/>
  </sheetPr>
  <dimension ref="A1:I76"/>
  <sheetViews>
    <sheetView zoomScale="65" workbookViewId="0"/>
  </sheetViews>
  <sheetFormatPr baseColWidth="10" defaultColWidth="14.33203125" defaultRowHeight="15.75" customHeight="1"/>
  <cols>
    <col min="1" max="2" width="38.83203125" customWidth="1"/>
    <col min="3" max="6" width="18.6640625" customWidth="1"/>
    <col min="8" max="8" width="25.1640625" customWidth="1"/>
    <col min="9" max="9" width="11" customWidth="1"/>
  </cols>
  <sheetData>
    <row r="1" spans="1:9" ht="25">
      <c r="A1" s="438" t="s">
        <v>0</v>
      </c>
    </row>
    <row r="3" spans="1:9" ht="22" customHeight="1">
      <c r="A3" s="2045" t="s">
        <v>433</v>
      </c>
      <c r="B3" s="2046"/>
      <c r="C3" s="2046"/>
      <c r="D3" s="2046"/>
      <c r="E3" s="2047"/>
    </row>
    <row r="4" spans="1:9" ht="15.75" customHeight="1" thickTop="1" thickBot="1"/>
    <row r="5" spans="1:9" ht="22" customHeight="1" thickTop="1" thickBot="1">
      <c r="A5" s="2048" t="s">
        <v>85</v>
      </c>
      <c r="B5" s="2046"/>
      <c r="C5" s="2046"/>
      <c r="D5" s="2046"/>
      <c r="E5" s="2049"/>
      <c r="F5" s="3"/>
      <c r="G5" s="1048" t="s">
        <v>182</v>
      </c>
      <c r="H5" s="866" t="s">
        <v>437</v>
      </c>
      <c r="I5" s="1049" t="s">
        <v>400</v>
      </c>
    </row>
    <row r="6" spans="1:9" ht="19" customHeight="1" thickTop="1" thickBot="1">
      <c r="A6" s="1031" t="s">
        <v>434</v>
      </c>
      <c r="B6" s="1032" t="s">
        <v>409</v>
      </c>
      <c r="C6" s="1032" t="s">
        <v>435</v>
      </c>
      <c r="D6" s="1032" t="s">
        <v>423</v>
      </c>
      <c r="E6" s="1033" t="s">
        <v>436</v>
      </c>
      <c r="F6" s="3"/>
      <c r="G6" s="993">
        <v>1</v>
      </c>
      <c r="H6" s="864">
        <f>'OM Year0-5 Inventory Management'!F30</f>
        <v>266.43464453461331</v>
      </c>
      <c r="I6" s="992">
        <f>'OM Year0-5 Inventory Management'!E40</f>
        <v>107.93986782386948</v>
      </c>
    </row>
    <row r="7" spans="1:9" ht="19" customHeight="1" thickTop="1">
      <c r="A7" s="1028" t="s">
        <v>438</v>
      </c>
      <c r="B7" s="207">
        <f>'OM Year0-5 Inventory Management'!C31</f>
        <v>5270.0257788682156</v>
      </c>
      <c r="C7" s="207">
        <f>'OM Year0-5 Inventory Management'!C39</f>
        <v>20518.740488875053</v>
      </c>
      <c r="D7" s="855">
        <f>'OM Year0-5 Inventory Management'!C45</f>
        <v>14379.460157382904</v>
      </c>
      <c r="E7" s="868">
        <f t="shared" ref="E7:E8" si="0">SUM(B7:D7)</f>
        <v>40168.226425126173</v>
      </c>
      <c r="F7" s="3"/>
      <c r="G7" s="993">
        <v>2</v>
      </c>
      <c r="H7" s="864">
        <f>'OM Year0-5 Inventory Management'!F54</f>
        <v>381.05749641690403</v>
      </c>
      <c r="I7" s="992">
        <f>'OM Year0-5 Inventory Management'!E64</f>
        <v>86.349074740152844</v>
      </c>
    </row>
    <row r="8" spans="1:9" ht="19" customHeight="1" thickBot="1">
      <c r="A8" s="1028" t="s">
        <v>439</v>
      </c>
      <c r="B8" s="207">
        <f>'OM Year0-5 Inventory Management'!C32</f>
        <v>43042.388528058087</v>
      </c>
      <c r="C8" s="207"/>
      <c r="D8" s="855">
        <f>'OM Year0-5 Inventory Management'!C46</f>
        <v>66799.478206656</v>
      </c>
      <c r="E8" s="868">
        <f t="shared" si="0"/>
        <v>109841.86673471409</v>
      </c>
      <c r="F8" s="3"/>
      <c r="G8" s="993">
        <v>3</v>
      </c>
      <c r="H8" s="864">
        <f>'OM Year0-5 Inventory Management'!F78</f>
        <v>918.46149105973257</v>
      </c>
      <c r="I8" s="992">
        <f>'OM Year0-5 Inventory Management'!E88</f>
        <v>68.798252654442152</v>
      </c>
    </row>
    <row r="9" spans="1:9" ht="19" customHeight="1" thickTop="1">
      <c r="A9" s="1029" t="s">
        <v>440</v>
      </c>
      <c r="B9" s="543">
        <f t="shared" ref="B9:E9" si="1">SUM(B7:B8)</f>
        <v>48312.414306926301</v>
      </c>
      <c r="C9" s="543">
        <f t="shared" si="1"/>
        <v>20518.740488875053</v>
      </c>
      <c r="D9" s="543">
        <f t="shared" si="1"/>
        <v>81178.938364038899</v>
      </c>
      <c r="E9" s="869">
        <f t="shared" si="1"/>
        <v>150010.09315984027</v>
      </c>
      <c r="F9" s="3"/>
      <c r="G9" s="993">
        <v>4</v>
      </c>
      <c r="H9" s="864">
        <f>'OM Year0-5 Inventory Management'!F102</f>
        <v>1156.0832549682577</v>
      </c>
      <c r="I9" s="992">
        <f>'OM Year0-5 Inventory Management'!E112</f>
        <v>63.642478885780321</v>
      </c>
    </row>
    <row r="10" spans="1:9" ht="19" customHeight="1" thickBot="1">
      <c r="A10" s="1030" t="s">
        <v>441</v>
      </c>
      <c r="B10" s="544"/>
      <c r="C10" s="544"/>
      <c r="D10" s="678"/>
      <c r="E10" s="859">
        <f>E9/(H6*I6)</f>
        <v>5.216123954515079</v>
      </c>
      <c r="F10" s="3"/>
      <c r="G10" s="1001">
        <v>5</v>
      </c>
      <c r="H10" s="1047">
        <f>'OM Year0-5 Inventory Management'!F126</f>
        <v>1487.1682594184842</v>
      </c>
      <c r="I10" s="1050">
        <f>'OM Year0-5 Inventory Management'!E136</f>
        <v>59.253430490606547</v>
      </c>
    </row>
    <row r="11" spans="1:9" ht="19" customHeight="1" thickTop="1" thickBot="1">
      <c r="A11" s="6"/>
      <c r="B11" s="6"/>
      <c r="C11" s="6"/>
      <c r="D11" s="6"/>
      <c r="E11" s="6"/>
      <c r="F11" s="3"/>
    </row>
    <row r="12" spans="1:9" ht="19" customHeight="1" thickTop="1" thickBot="1">
      <c r="A12" s="1034" t="s">
        <v>442</v>
      </c>
      <c r="B12" s="1032" t="s">
        <v>409</v>
      </c>
      <c r="C12" s="1032" t="s">
        <v>435</v>
      </c>
      <c r="D12" s="1032" t="s">
        <v>423</v>
      </c>
      <c r="E12" s="1033" t="s">
        <v>436</v>
      </c>
      <c r="F12" s="3"/>
      <c r="G12" s="3"/>
      <c r="H12" s="546"/>
      <c r="I12" s="3"/>
    </row>
    <row r="13" spans="1:9" ht="19" customHeight="1" thickTop="1">
      <c r="A13" s="1028" t="s">
        <v>438</v>
      </c>
      <c r="B13" s="360">
        <f>'OM Year0-5 Inventory Management'!B31</f>
        <v>114.35521504682063</v>
      </c>
      <c r="C13" s="360">
        <f>'OM Year0-5 Inventory Management'!B39</f>
        <v>266.43464453461331</v>
      </c>
      <c r="D13" s="818">
        <f>'OM Year0-5 Inventory Management'!B45</f>
        <v>133.21732226730666</v>
      </c>
      <c r="E13" s="864">
        <f t="shared" ref="E13:E14" si="2">SUM(B13:D13)</f>
        <v>514.00718184874063</v>
      </c>
      <c r="F13" s="3"/>
      <c r="G13" s="3"/>
      <c r="H13" s="3"/>
      <c r="I13" s="3"/>
    </row>
    <row r="14" spans="1:9" ht="19" customHeight="1" thickBot="1">
      <c r="A14" s="1028" t="s">
        <v>439</v>
      </c>
      <c r="B14" s="360">
        <f>'OM Year0-5 Inventory Management'!B32</f>
        <v>933.98434899344215</v>
      </c>
      <c r="C14" s="360"/>
      <c r="D14" s="818">
        <f>'OM Year0-5 Inventory Management'!B46</f>
        <v>618.8582546316976</v>
      </c>
      <c r="E14" s="864">
        <f t="shared" si="2"/>
        <v>1552.8426036251399</v>
      </c>
      <c r="F14" s="3"/>
      <c r="G14" s="3"/>
      <c r="H14" s="3"/>
      <c r="I14" s="3"/>
    </row>
    <row r="15" spans="1:9" ht="19" customHeight="1" thickTop="1">
      <c r="A15" s="1029" t="s">
        <v>440</v>
      </c>
      <c r="B15" s="547">
        <f t="shared" ref="B15:E15" si="3">SUM(B13:B14)</f>
        <v>1048.3395640402628</v>
      </c>
      <c r="C15" s="547">
        <f t="shared" si="3"/>
        <v>266.43464453461331</v>
      </c>
      <c r="D15" s="547">
        <f t="shared" si="3"/>
        <v>752.07557689900432</v>
      </c>
      <c r="E15" s="867">
        <f t="shared" si="3"/>
        <v>2066.8497854738807</v>
      </c>
      <c r="F15" s="3"/>
      <c r="G15" s="3"/>
      <c r="H15" s="3"/>
      <c r="I15" s="3"/>
    </row>
    <row r="16" spans="1:9" ht="19" customHeight="1" thickBot="1">
      <c r="A16" s="1030" t="s">
        <v>441</v>
      </c>
      <c r="B16" s="548"/>
      <c r="C16" s="548"/>
      <c r="D16" s="548"/>
      <c r="E16" s="859">
        <f>E10</f>
        <v>5.216123954515079</v>
      </c>
      <c r="F16" s="3"/>
      <c r="G16" s="3"/>
      <c r="H16" s="3"/>
      <c r="I16" s="3"/>
    </row>
    <row r="17" spans="1:9" ht="19" customHeight="1" thickTop="1">
      <c r="A17" s="268"/>
      <c r="B17" s="6"/>
      <c r="C17" s="6"/>
      <c r="D17" s="6"/>
      <c r="E17" s="549"/>
      <c r="F17" s="3"/>
      <c r="G17" s="3"/>
      <c r="H17" s="3"/>
      <c r="I17" s="3"/>
    </row>
    <row r="18" spans="1:9" ht="19" customHeight="1">
      <c r="F18" s="3"/>
      <c r="G18" s="3"/>
      <c r="H18" s="3"/>
      <c r="I18" s="3"/>
    </row>
    <row r="19" spans="1:9" ht="19" customHeight="1" thickBot="1">
      <c r="F19" s="3"/>
      <c r="G19" s="3"/>
      <c r="H19" s="3"/>
      <c r="I19" s="3"/>
    </row>
    <row r="20" spans="1:9" ht="22" customHeight="1" thickTop="1" thickBot="1">
      <c r="A20" s="2048" t="s">
        <v>86</v>
      </c>
      <c r="B20" s="2046"/>
      <c r="C20" s="2046"/>
      <c r="D20" s="2046"/>
      <c r="E20" s="2049"/>
      <c r="F20" s="3"/>
      <c r="G20" s="3"/>
      <c r="H20" s="3"/>
      <c r="I20" s="3"/>
    </row>
    <row r="21" spans="1:9" ht="19" customHeight="1" thickTop="1" thickBot="1">
      <c r="A21" s="1031" t="s">
        <v>434</v>
      </c>
      <c r="B21" s="1035" t="s">
        <v>409</v>
      </c>
      <c r="C21" s="1035" t="s">
        <v>435</v>
      </c>
      <c r="D21" s="1035" t="s">
        <v>423</v>
      </c>
      <c r="E21" s="1033" t="s">
        <v>436</v>
      </c>
      <c r="F21" s="3"/>
      <c r="G21" s="3"/>
      <c r="H21" s="3"/>
      <c r="I21" s="3"/>
    </row>
    <row r="22" spans="1:9" ht="19" customHeight="1" thickTop="1">
      <c r="A22" s="1028" t="s">
        <v>438</v>
      </c>
      <c r="B22" s="210">
        <f>'OM Year0-5 Inventory Management'!C55</f>
        <v>6302.4969870385967</v>
      </c>
      <c r="C22" s="210">
        <f>'OM Year0-5 Inventory Management'!C63</f>
        <v>25232.441321761435</v>
      </c>
      <c r="D22" s="855">
        <f>'OM Year0-5 Inventory Management'!C69</f>
        <v>16451.981119199387</v>
      </c>
      <c r="E22" s="868">
        <f t="shared" ref="E22:E23" si="4">SUM(B22:D22)</f>
        <v>47986.919427999419</v>
      </c>
      <c r="F22" s="3"/>
      <c r="G22" s="3"/>
      <c r="H22" s="3"/>
      <c r="I22" s="3"/>
    </row>
    <row r="23" spans="1:9" ht="19" customHeight="1" thickBot="1">
      <c r="A23" s="1028" t="s">
        <v>439</v>
      </c>
      <c r="B23" s="210">
        <f>'OM Year0-5 Inventory Management'!C56</f>
        <v>73132.961653547667</v>
      </c>
      <c r="C23" s="210"/>
      <c r="D23" s="855">
        <f>'OM Year0-5 Inventory Management'!C70</f>
        <v>90795.782198604604</v>
      </c>
      <c r="E23" s="868">
        <f t="shared" si="4"/>
        <v>163928.74385215226</v>
      </c>
      <c r="F23" s="3"/>
      <c r="G23" s="3"/>
      <c r="H23" s="3"/>
      <c r="I23" s="3"/>
    </row>
    <row r="24" spans="1:9" ht="19" customHeight="1" thickTop="1">
      <c r="A24" s="1029" t="s">
        <v>440</v>
      </c>
      <c r="B24" s="543">
        <f t="shared" ref="B24:E24" si="5">SUM(B22:B23)</f>
        <v>79435.458640586265</v>
      </c>
      <c r="C24" s="543">
        <f t="shared" si="5"/>
        <v>25232.441321761435</v>
      </c>
      <c r="D24" s="543">
        <f t="shared" si="5"/>
        <v>107247.763317804</v>
      </c>
      <c r="E24" s="869">
        <f t="shared" si="5"/>
        <v>211915.66328015167</v>
      </c>
      <c r="F24" s="3"/>
      <c r="G24" s="3"/>
      <c r="H24" s="8"/>
      <c r="I24" s="3"/>
    </row>
    <row r="25" spans="1:9" ht="19" customHeight="1" thickBot="1">
      <c r="A25" s="1030" t="s">
        <v>441</v>
      </c>
      <c r="B25" s="678"/>
      <c r="C25" s="678"/>
      <c r="D25" s="678"/>
      <c r="E25" s="859">
        <f>E24/(H7*I7)</f>
        <v>6.4404299319565554</v>
      </c>
      <c r="F25" s="3"/>
      <c r="G25" s="3"/>
      <c r="H25" s="550"/>
      <c r="I25" s="3"/>
    </row>
    <row r="26" spans="1:9" ht="19" customHeight="1" thickTop="1" thickBot="1">
      <c r="A26" s="674"/>
      <c r="B26" s="674"/>
      <c r="C26" s="674"/>
      <c r="D26" s="674"/>
      <c r="E26" s="674"/>
      <c r="F26" s="3"/>
      <c r="G26" s="3"/>
      <c r="H26" s="8"/>
      <c r="I26" s="3"/>
    </row>
    <row r="27" spans="1:9" ht="19" customHeight="1" thickTop="1" thickBot="1">
      <c r="A27" s="1034" t="s">
        <v>442</v>
      </c>
      <c r="B27" s="1032" t="s">
        <v>409</v>
      </c>
      <c r="C27" s="1032" t="s">
        <v>435</v>
      </c>
      <c r="D27" s="1032" t="s">
        <v>423</v>
      </c>
      <c r="E27" s="1033" t="s">
        <v>436</v>
      </c>
      <c r="F27" s="3"/>
      <c r="G27" s="3"/>
      <c r="H27" s="546"/>
      <c r="I27" s="3"/>
    </row>
    <row r="28" spans="1:9" ht="19" customHeight="1" thickTop="1">
      <c r="A28" s="1028" t="s">
        <v>438</v>
      </c>
      <c r="B28" s="542">
        <f>'OM Year0-5 Inventory Management'!B55</f>
        <v>136.75898914473993</v>
      </c>
      <c r="C28" s="542">
        <f>'OM Year0-5 Inventory Management'!B53</f>
        <v>0</v>
      </c>
      <c r="D28" s="818">
        <f>'OM Year0-5 Inventory Management'!B59</f>
        <v>1723.6839697467108</v>
      </c>
      <c r="E28" s="864">
        <f t="shared" ref="E28:E29" si="6">SUM(B28:D28)</f>
        <v>1860.4429588914506</v>
      </c>
      <c r="F28" s="3"/>
      <c r="G28" s="3"/>
      <c r="H28" s="8"/>
      <c r="I28" s="3"/>
    </row>
    <row r="29" spans="1:9" ht="19" customHeight="1" thickBot="1">
      <c r="A29" s="1028" t="s">
        <v>439</v>
      </c>
      <c r="B29" s="542">
        <f>'OM Year0-5 Inventory Management'!B56</f>
        <v>1586.9249806019711</v>
      </c>
      <c r="C29" s="542"/>
      <c r="D29" s="818">
        <f>'OM Year0-5 Inventory Management'!B60</f>
        <v>0</v>
      </c>
      <c r="E29" s="864">
        <f t="shared" si="6"/>
        <v>1586.9249806019711</v>
      </c>
      <c r="F29" s="3"/>
      <c r="G29" s="3"/>
      <c r="H29" s="550"/>
      <c r="I29" s="3"/>
    </row>
    <row r="30" spans="1:9" ht="19" customHeight="1" thickTop="1">
      <c r="A30" s="1029" t="s">
        <v>440</v>
      </c>
      <c r="B30" s="547">
        <f t="shared" ref="B30:E30" si="7">SUM(B28:B29)</f>
        <v>1723.683969746711</v>
      </c>
      <c r="C30" s="547">
        <f t="shared" si="7"/>
        <v>0</v>
      </c>
      <c r="D30" s="547">
        <f t="shared" si="7"/>
        <v>1723.6839697467108</v>
      </c>
      <c r="E30" s="867">
        <f t="shared" si="7"/>
        <v>3447.3679394934215</v>
      </c>
      <c r="F30" s="3"/>
      <c r="G30" s="3"/>
      <c r="H30" s="3"/>
      <c r="I30" s="3"/>
    </row>
    <row r="31" spans="1:9" ht="19" customHeight="1" thickBot="1">
      <c r="A31" s="1030" t="s">
        <v>441</v>
      </c>
      <c r="B31" s="548"/>
      <c r="C31" s="548"/>
      <c r="D31" s="548"/>
      <c r="E31" s="859">
        <f>E25</f>
        <v>6.4404299319565554</v>
      </c>
      <c r="F31" s="3"/>
      <c r="G31" s="3"/>
      <c r="H31" s="3"/>
      <c r="I31" s="3"/>
    </row>
    <row r="32" spans="1:9" ht="19" customHeight="1" thickTop="1">
      <c r="A32" s="674"/>
      <c r="B32" s="674"/>
      <c r="C32" s="674"/>
      <c r="D32" s="674"/>
      <c r="E32" s="674"/>
      <c r="F32" s="3"/>
      <c r="G32" s="3"/>
      <c r="H32" s="3"/>
      <c r="I32" s="3"/>
    </row>
    <row r="33" spans="1:9" ht="19" customHeight="1">
      <c r="F33" s="3"/>
      <c r="G33" s="3"/>
      <c r="H33" s="3"/>
      <c r="I33" s="3"/>
    </row>
    <row r="34" spans="1:9" ht="19" customHeight="1" thickBot="1">
      <c r="F34" s="3"/>
      <c r="G34" s="3"/>
      <c r="H34" s="3"/>
      <c r="I34" s="3"/>
    </row>
    <row r="35" spans="1:9" ht="22" customHeight="1" thickTop="1" thickBot="1">
      <c r="A35" s="2042" t="s">
        <v>87</v>
      </c>
      <c r="B35" s="2043"/>
      <c r="C35" s="2043"/>
      <c r="D35" s="2043"/>
      <c r="E35" s="2044"/>
      <c r="F35" s="3"/>
      <c r="G35" s="3"/>
      <c r="H35" s="3"/>
      <c r="I35" s="3"/>
    </row>
    <row r="36" spans="1:9" ht="19" customHeight="1" thickTop="1" thickBot="1">
      <c r="A36" s="1031" t="s">
        <v>434</v>
      </c>
      <c r="B36" s="1032" t="s">
        <v>409</v>
      </c>
      <c r="C36" s="1032" t="s">
        <v>435</v>
      </c>
      <c r="D36" s="1032" t="s">
        <v>423</v>
      </c>
      <c r="E36" s="1033" t="s">
        <v>436</v>
      </c>
      <c r="F36" s="3"/>
      <c r="G36" s="3"/>
      <c r="H36" s="3"/>
      <c r="I36" s="3"/>
    </row>
    <row r="37" spans="1:9" ht="19" customHeight="1" thickTop="1">
      <c r="A37" s="1028" t="s">
        <v>438</v>
      </c>
      <c r="B37" s="210">
        <f>'OM Year0-5 Inventory Management'!C79</f>
        <v>8876.8484563627553</v>
      </c>
      <c r="C37" s="210">
        <f>'OM Year0-5 Inventory Management'!C87</f>
        <v>50794.159251360645</v>
      </c>
      <c r="D37" s="855">
        <f>'OM Year0-5 Inventory Management'!C93</f>
        <v>31594.272857651573</v>
      </c>
      <c r="E37" s="868">
        <f t="shared" ref="E37:E38" si="8">SUM(B37:D37)</f>
        <v>91265.280565374967</v>
      </c>
      <c r="F37" s="3"/>
      <c r="G37" s="3"/>
      <c r="H37" s="3"/>
      <c r="I37" s="3"/>
    </row>
    <row r="38" spans="1:9" ht="19" customHeight="1" thickBot="1">
      <c r="A38" s="1028" t="s">
        <v>439</v>
      </c>
      <c r="B38" s="210">
        <f>'OM Year0-5 Inventory Management'!C80</f>
        <v>176647.402847964</v>
      </c>
      <c r="C38" s="210"/>
      <c r="D38" s="855">
        <f>'OM Year0-5 Inventory Management'!C94</f>
        <v>192605.44102433472</v>
      </c>
      <c r="E38" s="868">
        <f t="shared" si="8"/>
        <v>369252.84387229872</v>
      </c>
      <c r="F38" s="3"/>
      <c r="G38" s="3"/>
      <c r="H38" s="3"/>
      <c r="I38" s="3"/>
    </row>
    <row r="39" spans="1:9" ht="19" customHeight="1" thickTop="1">
      <c r="A39" s="1029" t="s">
        <v>440</v>
      </c>
      <c r="B39" s="543">
        <f t="shared" ref="B39:E39" si="9">SUM(B37:B38)</f>
        <v>185524.25130432675</v>
      </c>
      <c r="C39" s="543">
        <f t="shared" si="9"/>
        <v>50794.159251360645</v>
      </c>
      <c r="D39" s="543">
        <f t="shared" si="9"/>
        <v>224199.7138819863</v>
      </c>
      <c r="E39" s="869">
        <f t="shared" si="9"/>
        <v>460518.12443767372</v>
      </c>
      <c r="F39" s="3"/>
      <c r="G39" s="3"/>
      <c r="H39" s="3"/>
      <c r="I39" s="3"/>
    </row>
    <row r="40" spans="1:9" ht="19" customHeight="1" thickBot="1">
      <c r="A40" s="1030" t="s">
        <v>441</v>
      </c>
      <c r="B40" s="678"/>
      <c r="C40" s="678"/>
      <c r="D40" s="678"/>
      <c r="E40" s="859">
        <f>E39/(H8*I8)</f>
        <v>7.2880000516635466</v>
      </c>
      <c r="F40" s="3"/>
      <c r="G40" s="3"/>
      <c r="H40" s="3"/>
      <c r="I40" s="3"/>
    </row>
    <row r="41" spans="1:9" ht="19" customHeight="1" thickTop="1" thickBot="1">
      <c r="A41" s="674"/>
      <c r="B41" s="674"/>
      <c r="C41" s="674"/>
      <c r="D41" s="674"/>
      <c r="E41" s="674"/>
      <c r="F41" s="3"/>
      <c r="G41" s="3"/>
      <c r="H41" s="3"/>
      <c r="I41" s="3"/>
    </row>
    <row r="42" spans="1:9" ht="19" customHeight="1" thickTop="1" thickBot="1">
      <c r="A42" s="1034" t="s">
        <v>442</v>
      </c>
      <c r="B42" s="1032" t="s">
        <v>409</v>
      </c>
      <c r="C42" s="1032" t="s">
        <v>435</v>
      </c>
      <c r="D42" s="1032" t="s">
        <v>423</v>
      </c>
      <c r="E42" s="1033" t="s">
        <v>436</v>
      </c>
      <c r="F42" s="3"/>
      <c r="G42" s="3"/>
      <c r="H42" s="3"/>
      <c r="I42" s="3"/>
    </row>
    <row r="43" spans="1:9" ht="19" customHeight="1" thickTop="1">
      <c r="A43" s="1028" t="s">
        <v>438</v>
      </c>
      <c r="B43" s="542">
        <f>'OM Year0-5 Inventory Management'!B79</f>
        <v>212.32009663905097</v>
      </c>
      <c r="C43" s="542">
        <f>'OM Year0-5 Inventory Management'!B87</f>
        <v>918.46149105973257</v>
      </c>
      <c r="D43" s="818">
        <f>'OM Year0-5 Inventory Management'!B93</f>
        <v>459.23074552986628</v>
      </c>
      <c r="E43" s="864">
        <f t="shared" ref="E43:E44" si="10">SUM(B43:D43)</f>
        <v>1590.0123332286498</v>
      </c>
      <c r="F43" s="3"/>
      <c r="G43" s="3"/>
      <c r="H43" s="3"/>
      <c r="I43" s="3"/>
    </row>
    <row r="44" spans="1:9" ht="19" customHeight="1" thickBot="1">
      <c r="A44" s="1028" t="s">
        <v>439</v>
      </c>
      <c r="B44" s="542">
        <f>'OM Year0-5 Inventory Management'!B80</f>
        <v>4225.1249222164706</v>
      </c>
      <c r="C44" s="542"/>
      <c r="D44" s="818">
        <f>'OM Year0-5 Inventory Management'!B94</f>
        <v>2799.5687912561921</v>
      </c>
      <c r="E44" s="864">
        <f t="shared" si="10"/>
        <v>7024.6937134726631</v>
      </c>
      <c r="F44" s="3"/>
      <c r="G44" s="3"/>
      <c r="H44" s="3"/>
      <c r="I44" s="3"/>
    </row>
    <row r="45" spans="1:9" ht="19" customHeight="1" thickTop="1">
      <c r="A45" s="1029" t="s">
        <v>440</v>
      </c>
      <c r="B45" s="547">
        <f t="shared" ref="B45:E45" si="11">SUM(B43:B44)</f>
        <v>4437.445018855522</v>
      </c>
      <c r="C45" s="547">
        <f t="shared" si="11"/>
        <v>918.46149105973257</v>
      </c>
      <c r="D45" s="547">
        <f t="shared" si="11"/>
        <v>3258.7995367860585</v>
      </c>
      <c r="E45" s="867">
        <f t="shared" si="11"/>
        <v>8614.7060467013125</v>
      </c>
      <c r="F45" s="3"/>
      <c r="G45" s="3"/>
      <c r="H45" s="3"/>
      <c r="I45" s="3"/>
    </row>
    <row r="46" spans="1:9" ht="19" customHeight="1" thickBot="1">
      <c r="A46" s="1030" t="s">
        <v>441</v>
      </c>
      <c r="B46" s="548"/>
      <c r="C46" s="548"/>
      <c r="D46" s="548"/>
      <c r="E46" s="859">
        <f>E40</f>
        <v>7.2880000516635466</v>
      </c>
      <c r="F46" s="3"/>
      <c r="G46" s="3"/>
      <c r="H46" s="3"/>
      <c r="I46" s="3"/>
    </row>
    <row r="47" spans="1:9" ht="19" customHeight="1" thickTop="1">
      <c r="F47" s="3"/>
      <c r="G47" s="3"/>
      <c r="H47" s="3"/>
      <c r="I47" s="3"/>
    </row>
    <row r="48" spans="1:9" ht="19" customHeight="1">
      <c r="A48" s="268"/>
      <c r="B48" s="551"/>
      <c r="C48" s="551"/>
      <c r="D48" s="551"/>
      <c r="E48" s="549"/>
      <c r="F48" s="3"/>
      <c r="G48" s="3"/>
      <c r="H48" s="3"/>
      <c r="I48" s="3"/>
    </row>
    <row r="49" spans="1:9" ht="19" customHeight="1" thickBot="1">
      <c r="F49" s="3"/>
      <c r="G49" s="3"/>
      <c r="H49" s="3"/>
      <c r="I49" s="3"/>
    </row>
    <row r="50" spans="1:9" ht="22" customHeight="1" thickTop="1" thickBot="1">
      <c r="A50" s="2042" t="s">
        <v>88</v>
      </c>
      <c r="B50" s="2043"/>
      <c r="C50" s="2043"/>
      <c r="D50" s="2043"/>
      <c r="E50" s="2044"/>
      <c r="F50" s="3"/>
      <c r="G50" s="3"/>
      <c r="H50" s="3"/>
      <c r="I50" s="3"/>
    </row>
    <row r="51" spans="1:9" ht="19" customHeight="1" thickTop="1">
      <c r="A51" s="1036" t="s">
        <v>434</v>
      </c>
      <c r="B51" s="1037" t="s">
        <v>409</v>
      </c>
      <c r="C51" s="1037" t="s">
        <v>435</v>
      </c>
      <c r="D51" s="1037" t="s">
        <v>423</v>
      </c>
      <c r="E51" s="1038" t="s">
        <v>436</v>
      </c>
      <c r="F51" s="3"/>
      <c r="G51" s="3"/>
      <c r="H51" s="3"/>
      <c r="I51" s="3"/>
    </row>
    <row r="52" spans="1:9" ht="19" customHeight="1">
      <c r="A52" s="1028" t="s">
        <v>438</v>
      </c>
      <c r="B52" s="210">
        <f>'OM Year0-5 Inventory Management'!C103</f>
        <v>9619.6470688665522</v>
      </c>
      <c r="C52" s="210">
        <f>'OM Year0-5 Inventory Management'!C111</f>
        <v>60131.346135766085</v>
      </c>
      <c r="D52" s="855">
        <f>'OM Year0-5 Inventory Management'!C117</f>
        <v>36788.002072260766</v>
      </c>
      <c r="E52" s="868">
        <f t="shared" ref="E52:E53" si="12">SUM(B52:D52)</f>
        <v>106538.9952768934</v>
      </c>
      <c r="F52" s="3"/>
      <c r="G52" s="3"/>
      <c r="H52" s="3"/>
      <c r="I52" s="3"/>
    </row>
    <row r="53" spans="1:9" ht="19" customHeight="1" thickBot="1">
      <c r="A53" s="1028" t="s">
        <v>439</v>
      </c>
      <c r="B53" s="210">
        <f>'OM Year0-5 Inventory Management'!C104</f>
        <v>217049.70853690055</v>
      </c>
      <c r="C53" s="210"/>
      <c r="D53" s="855">
        <f>'OM Year0-5 Inventory Management'!C118</f>
        <v>226649.06272734978</v>
      </c>
      <c r="E53" s="868">
        <f t="shared" si="12"/>
        <v>443698.77126425033</v>
      </c>
      <c r="F53" s="3"/>
      <c r="G53" s="3"/>
      <c r="H53" s="3"/>
      <c r="I53" s="3"/>
    </row>
    <row r="54" spans="1:9" ht="19" customHeight="1" thickTop="1">
      <c r="A54" s="1029" t="s">
        <v>440</v>
      </c>
      <c r="B54" s="543">
        <f t="shared" ref="B54:E54" si="13">SUM(B52:B53)</f>
        <v>226669.35560576711</v>
      </c>
      <c r="C54" s="543">
        <f t="shared" si="13"/>
        <v>60131.346135766085</v>
      </c>
      <c r="D54" s="543">
        <f t="shared" si="13"/>
        <v>263437.06479961053</v>
      </c>
      <c r="E54" s="869">
        <f t="shared" si="13"/>
        <v>550237.76654114376</v>
      </c>
      <c r="F54" s="3"/>
      <c r="G54" s="3"/>
      <c r="H54" s="3"/>
      <c r="I54" s="3"/>
    </row>
    <row r="55" spans="1:9" ht="19" customHeight="1" thickBot="1">
      <c r="A55" s="1030" t="s">
        <v>441</v>
      </c>
      <c r="B55" s="678"/>
      <c r="C55" s="678"/>
      <c r="D55" s="678"/>
      <c r="E55" s="859">
        <f>E54/(H9*I9)</f>
        <v>7.4784948291067863</v>
      </c>
      <c r="F55" s="3"/>
      <c r="G55" s="3"/>
      <c r="H55" s="3"/>
      <c r="I55" s="3"/>
    </row>
    <row r="56" spans="1:9" ht="19" customHeight="1" thickTop="1" thickBot="1">
      <c r="A56" s="674"/>
      <c r="B56" s="674"/>
      <c r="C56" s="674"/>
      <c r="D56" s="674"/>
      <c r="E56" s="674"/>
      <c r="F56" s="3"/>
      <c r="G56" s="3"/>
      <c r="H56" s="3"/>
      <c r="I56" s="3"/>
    </row>
    <row r="57" spans="1:9" ht="19" customHeight="1" thickTop="1" thickBot="1">
      <c r="A57" s="1034" t="s">
        <v>442</v>
      </c>
      <c r="B57" s="1032" t="s">
        <v>409</v>
      </c>
      <c r="C57" s="1032" t="s">
        <v>435</v>
      </c>
      <c r="D57" s="1032" t="s">
        <v>423</v>
      </c>
      <c r="E57" s="1033" t="s">
        <v>436</v>
      </c>
      <c r="F57" s="3"/>
      <c r="G57" s="3"/>
      <c r="H57" s="3"/>
      <c r="I57" s="3"/>
    </row>
    <row r="58" spans="1:9" ht="19" customHeight="1" thickTop="1">
      <c r="A58" s="1028" t="s">
        <v>438</v>
      </c>
      <c r="B58" s="542">
        <f>'OM Year0-5 Inventory Management'!B103</f>
        <v>238.20736362292894</v>
      </c>
      <c r="C58" s="542">
        <f>'OM Year0-5 Inventory Management'!B111</f>
        <v>1156.0832549682577</v>
      </c>
      <c r="D58" s="818">
        <f>'OM Year0-5 Inventory Management'!B117</f>
        <v>578.04162748412887</v>
      </c>
      <c r="E58" s="864">
        <f t="shared" ref="E58:E59" si="14">SUM(B58:D58)</f>
        <v>1972.3322460753154</v>
      </c>
      <c r="F58" s="3"/>
      <c r="G58" s="3"/>
      <c r="H58" s="3"/>
      <c r="I58" s="3"/>
    </row>
    <row r="59" spans="1:9" ht="19" customHeight="1" thickBot="1">
      <c r="A59" s="1028" t="s">
        <v>439</v>
      </c>
      <c r="B59" s="542">
        <f>'OM Year0-5 Inventory Management'!B104</f>
        <v>5374.7126558346981</v>
      </c>
      <c r="C59" s="542"/>
      <c r="D59" s="818">
        <f>'OM Year0-5 Inventory Management'!B118</f>
        <v>3561.2859004772381</v>
      </c>
      <c r="E59" s="864">
        <f t="shared" si="14"/>
        <v>8935.9985563119371</v>
      </c>
      <c r="F59" s="3"/>
      <c r="G59" s="3"/>
      <c r="H59" s="3"/>
      <c r="I59" s="3"/>
    </row>
    <row r="60" spans="1:9" ht="19" customHeight="1" thickTop="1">
      <c r="A60" s="1029" t="s">
        <v>440</v>
      </c>
      <c r="B60" s="547">
        <f t="shared" ref="B60:E60" si="15">SUM(B58:B59)</f>
        <v>5612.9200194576269</v>
      </c>
      <c r="C60" s="547">
        <f t="shared" si="15"/>
        <v>1156.0832549682577</v>
      </c>
      <c r="D60" s="547">
        <f t="shared" si="15"/>
        <v>4139.3275279613672</v>
      </c>
      <c r="E60" s="867">
        <f t="shared" si="15"/>
        <v>10908.330802387252</v>
      </c>
      <c r="F60" s="3"/>
      <c r="G60" s="3"/>
      <c r="H60" s="3"/>
      <c r="I60" s="3"/>
    </row>
    <row r="61" spans="1:9" ht="19" customHeight="1" thickBot="1">
      <c r="A61" s="1030" t="s">
        <v>441</v>
      </c>
      <c r="B61" s="548"/>
      <c r="C61" s="548"/>
      <c r="D61" s="548"/>
      <c r="E61" s="859">
        <f>E55</f>
        <v>7.4784948291067863</v>
      </c>
      <c r="F61" s="3"/>
      <c r="G61" s="3"/>
      <c r="H61" s="3"/>
      <c r="I61" s="3"/>
    </row>
    <row r="62" spans="1:9" ht="19" customHeight="1" thickTop="1">
      <c r="F62" s="3"/>
      <c r="G62" s="3"/>
      <c r="H62" s="3"/>
      <c r="I62" s="3"/>
    </row>
    <row r="63" spans="1:9" ht="19" customHeight="1">
      <c r="A63" s="268"/>
      <c r="B63" s="551"/>
      <c r="C63" s="551"/>
      <c r="D63" s="551"/>
      <c r="E63" s="549"/>
      <c r="F63" s="3"/>
      <c r="G63" s="3"/>
      <c r="H63" s="3"/>
      <c r="I63" s="3"/>
    </row>
    <row r="64" spans="1:9" ht="19" customHeight="1" thickBot="1">
      <c r="F64" s="3"/>
      <c r="G64" s="3"/>
      <c r="H64" s="3"/>
      <c r="I64" s="3"/>
    </row>
    <row r="65" spans="1:9" ht="22" customHeight="1" thickBot="1">
      <c r="A65" s="2039" t="s">
        <v>89</v>
      </c>
      <c r="B65" s="2040"/>
      <c r="C65" s="2040"/>
      <c r="D65" s="2040"/>
      <c r="E65" s="2041"/>
      <c r="F65" s="3"/>
      <c r="G65" s="3"/>
      <c r="H65" s="3"/>
      <c r="I65" s="3"/>
    </row>
    <row r="66" spans="1:9" ht="19" customHeight="1" thickBot="1">
      <c r="A66" s="1039" t="s">
        <v>434</v>
      </c>
      <c r="B66" s="1040" t="s">
        <v>409</v>
      </c>
      <c r="C66" s="1040" t="s">
        <v>435</v>
      </c>
      <c r="D66" s="1040" t="s">
        <v>423</v>
      </c>
      <c r="E66" s="1041" t="s">
        <v>436</v>
      </c>
      <c r="F66" s="3"/>
      <c r="G66" s="3"/>
      <c r="H66" s="3"/>
      <c r="I66" s="3"/>
    </row>
    <row r="67" spans="1:9" ht="19" customHeight="1">
      <c r="A67" s="1041" t="s">
        <v>438</v>
      </c>
      <c r="B67" s="853">
        <f>'OM Year0-5 Inventory Management'!C127</f>
        <v>10525.423129953155</v>
      </c>
      <c r="C67" s="853">
        <f>'OM Year0-5 Inventory Management'!C135</f>
        <v>73028.609785683337</v>
      </c>
      <c r="D67" s="853">
        <f>'OM Year0-5 Inventory Management'!C141</f>
        <v>44059.910543644743</v>
      </c>
      <c r="E67" s="856">
        <f t="shared" ref="E67:E68" si="16">SUM(B67:D67)</f>
        <v>127613.94345928123</v>
      </c>
      <c r="F67" s="3"/>
      <c r="G67" s="3"/>
      <c r="H67" s="3"/>
      <c r="I67" s="3"/>
    </row>
    <row r="68" spans="1:9" ht="19" customHeight="1" thickBot="1">
      <c r="A68" s="1042" t="s">
        <v>439</v>
      </c>
      <c r="B68" s="854">
        <f>'OM Year0-5 Inventory Management'!C128</f>
        <v>273077.72948713956</v>
      </c>
      <c r="C68" s="854"/>
      <c r="D68" s="854">
        <f>'OM Year0-5 Inventory Management'!C142</f>
        <v>275202.57227169897</v>
      </c>
      <c r="E68" s="857">
        <f t="shared" si="16"/>
        <v>548280.30175883858</v>
      </c>
      <c r="F68" s="3"/>
      <c r="G68" s="3"/>
      <c r="H68" s="3"/>
      <c r="I68" s="3"/>
    </row>
    <row r="69" spans="1:9" ht="19" customHeight="1">
      <c r="A69" s="1043" t="s">
        <v>440</v>
      </c>
      <c r="B69" s="855">
        <f t="shared" ref="B69:E69" si="17">SUM(B67:B68)</f>
        <v>283603.15261709271</v>
      </c>
      <c r="C69" s="855">
        <f t="shared" si="17"/>
        <v>73028.609785683337</v>
      </c>
      <c r="D69" s="855">
        <f t="shared" si="17"/>
        <v>319262.48281534371</v>
      </c>
      <c r="E69" s="858">
        <f t="shared" si="17"/>
        <v>675894.24521811982</v>
      </c>
    </row>
    <row r="70" spans="1:9" ht="19" customHeight="1" thickBot="1">
      <c r="A70" s="1042" t="s">
        <v>441</v>
      </c>
      <c r="B70" s="860"/>
      <c r="C70" s="860"/>
      <c r="D70" s="860"/>
      <c r="E70" s="859">
        <f>E69/(H10*I10)</f>
        <v>7.6701726907569912</v>
      </c>
    </row>
    <row r="71" spans="1:9" ht="19" customHeight="1" thickBot="1">
      <c r="A71" s="674"/>
      <c r="B71" s="674"/>
      <c r="C71" s="674"/>
      <c r="D71" s="674"/>
      <c r="E71" s="674"/>
    </row>
    <row r="72" spans="1:9" ht="19" customHeight="1" thickBot="1">
      <c r="A72" s="1044" t="s">
        <v>442</v>
      </c>
      <c r="B72" s="1045" t="s">
        <v>409</v>
      </c>
      <c r="C72" s="1045" t="s">
        <v>435</v>
      </c>
      <c r="D72" s="1045" t="s">
        <v>423</v>
      </c>
      <c r="E72" s="1046" t="s">
        <v>436</v>
      </c>
    </row>
    <row r="73" spans="1:9" ht="19" customHeight="1">
      <c r="A73" s="1041" t="s">
        <v>438</v>
      </c>
      <c r="B73" s="542">
        <f>'OM Year0-5 Inventory Management'!B127</f>
        <v>270.17221355075833</v>
      </c>
      <c r="C73" s="542">
        <f>'OM Year0-5 Inventory Management'!B135</f>
        <v>1487.1682594184842</v>
      </c>
      <c r="D73" s="818">
        <f>'OM Year0-5 Inventory Management'!B141</f>
        <v>743.58412970924212</v>
      </c>
      <c r="E73" s="863">
        <f t="shared" ref="E73:E74" si="18">SUM(B73:D73)</f>
        <v>2500.9246026784845</v>
      </c>
    </row>
    <row r="74" spans="1:9" ht="19" customHeight="1" thickBot="1">
      <c r="A74" s="1043" t="s">
        <v>439</v>
      </c>
      <c r="B74" s="818">
        <f>'OM Year0-5 Inventory Management'!B128</f>
        <v>7009.5058161603856</v>
      </c>
      <c r="C74" s="818"/>
      <c r="D74" s="818">
        <f>'OM Year0-5 Inventory Management'!B142</f>
        <v>4644.5002423163814</v>
      </c>
      <c r="E74" s="864">
        <f t="shared" si="18"/>
        <v>11654.006058476767</v>
      </c>
    </row>
    <row r="75" spans="1:9" ht="19" customHeight="1">
      <c r="A75" s="1041" t="s">
        <v>440</v>
      </c>
      <c r="B75" s="861">
        <f t="shared" ref="B75:E75" si="19">SUM(B73:B74)</f>
        <v>7279.6780297111436</v>
      </c>
      <c r="C75" s="861">
        <f t="shared" si="19"/>
        <v>1487.1682594184842</v>
      </c>
      <c r="D75" s="861">
        <f t="shared" si="19"/>
        <v>5388.0843720256235</v>
      </c>
      <c r="E75" s="865">
        <f t="shared" si="19"/>
        <v>14154.930661155251</v>
      </c>
    </row>
    <row r="76" spans="1:9" ht="19" customHeight="1" thickBot="1">
      <c r="A76" s="1042" t="s">
        <v>441</v>
      </c>
      <c r="B76" s="862"/>
      <c r="C76" s="862"/>
      <c r="D76" s="862"/>
      <c r="E76" s="859">
        <f>E70</f>
        <v>7.6701726907569912</v>
      </c>
    </row>
  </sheetData>
  <mergeCells count="6">
    <mergeCell ref="A65:E65"/>
    <mergeCell ref="A50:E50"/>
    <mergeCell ref="A35:E35"/>
    <mergeCell ref="A3:E3"/>
    <mergeCell ref="A5:E5"/>
    <mergeCell ref="A20:E20"/>
  </mergeCells>
  <hyperlinks>
    <hyperlink ref="A1" location="Index!A1" display="Index" xr:uid="{E69B688F-521A-6D4D-9152-7C7C65D6EE35}"/>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outlinePr summaryBelow="0" summaryRight="0"/>
  </sheetPr>
  <dimension ref="A1:N25"/>
  <sheetViews>
    <sheetView workbookViewId="0">
      <selection activeCell="I4" sqref="I4"/>
    </sheetView>
  </sheetViews>
  <sheetFormatPr baseColWidth="10" defaultColWidth="14.33203125" defaultRowHeight="15.75" customHeight="1"/>
  <cols>
    <col min="1" max="1" width="18.5" customWidth="1"/>
    <col min="8" max="8" width="15.33203125" customWidth="1"/>
    <col min="17" max="17" width="16" customWidth="1"/>
    <col min="18" max="18" width="14.6640625" customWidth="1"/>
    <col min="19" max="19" width="13.6640625" customWidth="1"/>
    <col min="20" max="20" width="13.1640625" customWidth="1"/>
  </cols>
  <sheetData>
    <row r="1" spans="1:14" ht="26">
      <c r="A1" s="902" t="s">
        <v>0</v>
      </c>
      <c r="N1" s="380"/>
    </row>
    <row r="2" spans="1:14" ht="15.75" customHeight="1">
      <c r="G2" s="3"/>
    </row>
    <row r="3" spans="1:14" ht="18" customHeight="1">
      <c r="A3" s="2011" t="s">
        <v>385</v>
      </c>
      <c r="B3" s="2012"/>
      <c r="C3" s="2012"/>
      <c r="D3" s="2012"/>
      <c r="E3" s="2012"/>
      <c r="F3" s="1999"/>
      <c r="G3" s="3"/>
      <c r="H3" s="381"/>
      <c r="I3" s="382" t="s">
        <v>386</v>
      </c>
      <c r="J3" s="382" t="s">
        <v>350</v>
      </c>
      <c r="K3" s="383" t="s">
        <v>381</v>
      </c>
    </row>
    <row r="4" spans="1:14" ht="18" customHeight="1">
      <c r="A4" s="384"/>
      <c r="B4" s="385" t="s">
        <v>23</v>
      </c>
      <c r="C4" s="386" t="s">
        <v>24</v>
      </c>
      <c r="D4" s="387" t="s">
        <v>25</v>
      </c>
      <c r="E4" s="387" t="s">
        <v>26</v>
      </c>
      <c r="F4" s="388" t="s">
        <v>27</v>
      </c>
      <c r="G4" s="3"/>
      <c r="H4" s="389" t="s">
        <v>387</v>
      </c>
      <c r="I4" s="1390">
        <v>10</v>
      </c>
      <c r="J4" s="1390">
        <v>8</v>
      </c>
      <c r="K4" s="1391">
        <v>18</v>
      </c>
    </row>
    <row r="5" spans="1:14" ht="18" customHeight="1">
      <c r="A5" s="390" t="s">
        <v>388</v>
      </c>
      <c r="B5" s="391">
        <f>'MK Bases Model (Base Case)'!B16</f>
        <v>12788.862937661439</v>
      </c>
      <c r="C5" s="392">
        <f>'MK Bases Model (Base Case)'!C16</f>
        <v>18290.759828011393</v>
      </c>
      <c r="D5" s="393">
        <f>'MK Bases Model (Base Case)'!D16</f>
        <v>44086.151570867165</v>
      </c>
      <c r="E5" s="393">
        <f>'MK Bases Model (Base Case)'!E16</f>
        <v>55491.996238476371</v>
      </c>
      <c r="F5" s="394">
        <f>'MK Bases Model (Base Case)'!F16</f>
        <v>71384.076452087247</v>
      </c>
      <c r="G5" s="3"/>
      <c r="H5" s="389" t="s">
        <v>389</v>
      </c>
      <c r="I5" s="1390">
        <v>4</v>
      </c>
      <c r="J5" s="1390">
        <v>30</v>
      </c>
      <c r="K5" s="1391"/>
    </row>
    <row r="6" spans="1:14" ht="18" customHeight="1">
      <c r="A6" s="395" t="s">
        <v>9</v>
      </c>
      <c r="B6" s="396">
        <f t="shared" ref="B6:F6" si="0">B5*2</f>
        <v>25577.725875322878</v>
      </c>
      <c r="C6" s="396">
        <f t="shared" si="0"/>
        <v>36581.519656022785</v>
      </c>
      <c r="D6" s="396">
        <f t="shared" si="0"/>
        <v>88172.30314173433</v>
      </c>
      <c r="E6" s="396">
        <f t="shared" si="0"/>
        <v>110983.99247695274</v>
      </c>
      <c r="F6" s="397">
        <f t="shared" si="0"/>
        <v>142768.15290417449</v>
      </c>
      <c r="G6" s="3"/>
      <c r="H6" s="389" t="s">
        <v>390</v>
      </c>
      <c r="I6" s="342">
        <f>I4/K4</f>
        <v>0.55555555555555558</v>
      </c>
      <c r="J6" s="342">
        <f>J4/K4</f>
        <v>0.44444444444444442</v>
      </c>
      <c r="K6" s="255"/>
    </row>
    <row r="7" spans="1:14" ht="18" customHeight="1">
      <c r="A7" s="395" t="s">
        <v>391</v>
      </c>
      <c r="B7" s="396">
        <f t="shared" ref="B7:F7" si="1">B5</f>
        <v>12788.862937661439</v>
      </c>
      <c r="C7" s="396">
        <f t="shared" si="1"/>
        <v>18290.759828011393</v>
      </c>
      <c r="D7" s="396">
        <f t="shared" si="1"/>
        <v>44086.151570867165</v>
      </c>
      <c r="E7" s="396">
        <f t="shared" si="1"/>
        <v>55491.996238476371</v>
      </c>
      <c r="F7" s="397">
        <f t="shared" si="1"/>
        <v>71384.076452087247</v>
      </c>
      <c r="G7" s="3"/>
      <c r="H7" s="398" t="s">
        <v>392</v>
      </c>
      <c r="I7" s="399">
        <f t="shared" ref="I7:J7" si="2">I6*I5</f>
        <v>2.2222222222222223</v>
      </c>
      <c r="J7" s="399">
        <f t="shared" si="2"/>
        <v>13.333333333333332</v>
      </c>
      <c r="K7" s="400">
        <f>SUM(I7:J7)</f>
        <v>15.555555555555554</v>
      </c>
    </row>
    <row r="8" spans="1:14" ht="18" customHeight="1">
      <c r="A8" s="395" t="s">
        <v>8</v>
      </c>
      <c r="B8" s="396">
        <f t="shared" ref="B8:F8" si="3">B5*0.5</f>
        <v>6394.4314688307195</v>
      </c>
      <c r="C8" s="396">
        <f t="shared" si="3"/>
        <v>9145.3799140056963</v>
      </c>
      <c r="D8" s="396">
        <f t="shared" si="3"/>
        <v>22043.075785433582</v>
      </c>
      <c r="E8" s="396">
        <f t="shared" si="3"/>
        <v>27745.998119238186</v>
      </c>
      <c r="F8" s="397">
        <f t="shared" si="3"/>
        <v>35692.038226043624</v>
      </c>
      <c r="G8" s="3"/>
      <c r="H8" s="3"/>
      <c r="I8" s="3"/>
      <c r="J8" s="3"/>
      <c r="K8" s="3"/>
    </row>
    <row r="9" spans="1:14" ht="18" customHeight="1">
      <c r="A9" s="395" t="s">
        <v>12</v>
      </c>
      <c r="B9" s="401">
        <f t="shared" ref="B9:F9" si="4">(B6+(4*B7)+B8)/6</f>
        <v>13854.601515799892</v>
      </c>
      <c r="C9" s="401">
        <f t="shared" si="4"/>
        <v>19814.989813679011</v>
      </c>
      <c r="D9" s="401">
        <f t="shared" si="4"/>
        <v>47759.997535106093</v>
      </c>
      <c r="E9" s="401">
        <f t="shared" si="4"/>
        <v>60116.329258349404</v>
      </c>
      <c r="F9" s="402">
        <f t="shared" si="4"/>
        <v>77332.749489761176</v>
      </c>
      <c r="G9" s="44"/>
      <c r="H9" s="3"/>
      <c r="I9" s="3"/>
      <c r="J9" s="3"/>
      <c r="K9" s="3"/>
    </row>
    <row r="10" spans="1:14" ht="18" customHeight="1">
      <c r="A10" s="395" t="s">
        <v>393</v>
      </c>
      <c r="B10" s="401">
        <f t="shared" ref="B10:F10" si="5">(B6-B8)/6</f>
        <v>3197.2157344153597</v>
      </c>
      <c r="C10" s="401">
        <f t="shared" si="5"/>
        <v>4572.6899570028481</v>
      </c>
      <c r="D10" s="401">
        <f t="shared" si="5"/>
        <v>11021.537892716791</v>
      </c>
      <c r="E10" s="401">
        <f t="shared" si="5"/>
        <v>13872.999059619093</v>
      </c>
      <c r="F10" s="402">
        <f t="shared" si="5"/>
        <v>17846.019113021812</v>
      </c>
      <c r="G10" s="3"/>
      <c r="H10" s="3"/>
      <c r="I10" s="3"/>
      <c r="J10" s="3"/>
      <c r="K10" s="3"/>
    </row>
    <row r="11" spans="1:14" ht="18" customHeight="1">
      <c r="A11" s="403" t="s">
        <v>394</v>
      </c>
      <c r="B11" s="404"/>
      <c r="C11" s="405"/>
      <c r="D11" s="406"/>
      <c r="E11" s="406"/>
      <c r="F11" s="407"/>
      <c r="G11" s="3"/>
      <c r="H11" s="3"/>
      <c r="I11" s="3"/>
      <c r="J11" s="3"/>
      <c r="K11" s="3"/>
    </row>
    <row r="12" spans="1:14" ht="18" customHeight="1">
      <c r="A12" s="395" t="s">
        <v>12</v>
      </c>
      <c r="B12" s="401">
        <f t="shared" ref="B12:F12" si="6">B9/52</f>
        <v>266.43464453461331</v>
      </c>
      <c r="C12" s="401">
        <f t="shared" si="6"/>
        <v>381.05749641690403</v>
      </c>
      <c r="D12" s="401">
        <f t="shared" si="6"/>
        <v>918.46149105973257</v>
      </c>
      <c r="E12" s="401">
        <f t="shared" si="6"/>
        <v>1156.0832549682577</v>
      </c>
      <c r="F12" s="402">
        <f t="shared" si="6"/>
        <v>1487.1682594184842</v>
      </c>
      <c r="G12" s="3"/>
      <c r="H12" s="3"/>
      <c r="I12" s="3"/>
      <c r="J12" s="3"/>
      <c r="K12" s="3"/>
    </row>
    <row r="13" spans="1:14" ht="18" customHeight="1">
      <c r="A13" s="408" t="s">
        <v>393</v>
      </c>
      <c r="B13" s="409">
        <f t="shared" ref="B13:F13" si="7">B10/SQRT(52)</f>
        <v>443.37404881364756</v>
      </c>
      <c r="C13" s="409">
        <f t="shared" si="7"/>
        <v>634.11800410665364</v>
      </c>
      <c r="D13" s="409">
        <f t="shared" si="7"/>
        <v>1528.4123079484507</v>
      </c>
      <c r="E13" s="409">
        <f t="shared" si="7"/>
        <v>1923.8388251507827</v>
      </c>
      <c r="F13" s="410">
        <f t="shared" si="7"/>
        <v>2474.7975759580972</v>
      </c>
      <c r="G13" s="3"/>
      <c r="H13" s="3"/>
      <c r="I13" s="3"/>
      <c r="J13" s="3"/>
      <c r="K13" s="3"/>
    </row>
    <row r="14" spans="1:14" ht="18" customHeight="1">
      <c r="A14" s="3"/>
      <c r="B14" s="3"/>
      <c r="C14" s="3"/>
      <c r="D14" s="3"/>
      <c r="E14" s="3"/>
      <c r="F14" s="3"/>
      <c r="G14" s="3"/>
      <c r="H14" s="3"/>
      <c r="I14" s="3"/>
      <c r="J14" s="3"/>
      <c r="K14" s="3"/>
    </row>
    <row r="15" spans="1:14" ht="18" customHeight="1">
      <c r="A15" s="2011" t="s">
        <v>395</v>
      </c>
      <c r="B15" s="1999"/>
      <c r="C15" s="3"/>
      <c r="D15" s="3"/>
      <c r="E15" s="3"/>
      <c r="F15" s="3"/>
      <c r="G15" s="3"/>
      <c r="H15" s="3"/>
      <c r="I15" s="3"/>
      <c r="J15" s="3"/>
      <c r="K15" s="3"/>
    </row>
    <row r="16" spans="1:14" ht="18" customHeight="1">
      <c r="A16" s="412"/>
      <c r="B16" s="413" t="s">
        <v>396</v>
      </c>
      <c r="C16" s="3"/>
      <c r="D16" s="3"/>
      <c r="E16" s="3"/>
      <c r="F16" s="3"/>
      <c r="G16" s="3"/>
      <c r="H16" s="3"/>
      <c r="I16" s="3"/>
      <c r="J16" s="3"/>
      <c r="K16" s="3"/>
    </row>
    <row r="17" spans="1:11" ht="18" customHeight="1">
      <c r="A17" s="389" t="s">
        <v>397</v>
      </c>
      <c r="B17" s="414">
        <f>K7</f>
        <v>15.555555555555554</v>
      </c>
      <c r="C17" s="3"/>
      <c r="D17" s="3"/>
      <c r="E17" s="3"/>
      <c r="F17" s="3"/>
      <c r="G17" s="3"/>
      <c r="H17" s="3"/>
      <c r="I17" s="3"/>
      <c r="J17" s="3"/>
      <c r="K17" s="3"/>
    </row>
    <row r="18" spans="1:11" ht="18" customHeight="1">
      <c r="A18" s="389" t="s">
        <v>9</v>
      </c>
      <c r="B18" s="414">
        <f>B17*1.2</f>
        <v>18.666666666666664</v>
      </c>
      <c r="C18" s="3"/>
      <c r="D18" s="3"/>
      <c r="E18" s="3"/>
      <c r="F18" s="3"/>
      <c r="G18" s="3"/>
      <c r="H18" s="3"/>
      <c r="I18" s="3"/>
      <c r="J18" s="3"/>
      <c r="K18" s="3"/>
    </row>
    <row r="19" spans="1:11" ht="18" customHeight="1">
      <c r="A19" s="389" t="s">
        <v>391</v>
      </c>
      <c r="B19" s="414">
        <f>B17</f>
        <v>15.555555555555554</v>
      </c>
      <c r="C19" s="3"/>
      <c r="D19" s="3"/>
      <c r="E19" s="3"/>
      <c r="F19" s="3"/>
      <c r="G19" s="3"/>
      <c r="H19" s="3"/>
      <c r="I19" s="3"/>
      <c r="J19" s="3"/>
      <c r="K19" s="3"/>
    </row>
    <row r="20" spans="1:11" ht="18" customHeight="1">
      <c r="A20" s="415" t="s">
        <v>8</v>
      </c>
      <c r="B20" s="416">
        <f>B17*0.8</f>
        <v>12.444444444444443</v>
      </c>
      <c r="C20" s="3"/>
      <c r="D20" s="3"/>
      <c r="E20" s="3"/>
      <c r="F20" s="3"/>
      <c r="G20" s="3"/>
      <c r="H20" s="3"/>
      <c r="I20" s="3"/>
      <c r="J20" s="3"/>
      <c r="K20" s="3"/>
    </row>
    <row r="21" spans="1:11" ht="18" customHeight="1">
      <c r="A21" s="389" t="s">
        <v>12</v>
      </c>
      <c r="B21" s="417">
        <f>(B18+(B19*4)+B20)/6</f>
        <v>15.555555555555555</v>
      </c>
      <c r="C21" s="3"/>
      <c r="D21" s="3"/>
      <c r="E21" s="3"/>
      <c r="F21" s="3"/>
      <c r="G21" s="3"/>
      <c r="H21" s="3"/>
      <c r="I21" s="3"/>
      <c r="J21" s="3"/>
      <c r="K21" s="3"/>
    </row>
    <row r="22" spans="1:11" ht="18" customHeight="1">
      <c r="A22" s="398" t="s">
        <v>393</v>
      </c>
      <c r="B22" s="418">
        <f>(B18-B20)/6</f>
        <v>1.037037037037037</v>
      </c>
      <c r="C22" s="3"/>
      <c r="D22" s="3"/>
      <c r="E22" s="3"/>
      <c r="F22" s="3"/>
      <c r="G22" s="3"/>
      <c r="H22" s="3"/>
      <c r="I22" s="3"/>
      <c r="J22" s="3"/>
      <c r="K22" s="3"/>
    </row>
    <row r="23" spans="1:11" ht="16">
      <c r="A23" s="3"/>
      <c r="B23" s="3"/>
      <c r="C23" s="3"/>
      <c r="D23" s="3"/>
      <c r="E23" s="3"/>
      <c r="F23" s="3"/>
      <c r="G23" s="3"/>
      <c r="H23" s="3"/>
      <c r="I23" s="3"/>
      <c r="J23" s="3"/>
      <c r="K23" s="3"/>
    </row>
    <row r="24" spans="1:11" ht="16">
      <c r="A24" s="3"/>
      <c r="B24" s="3"/>
      <c r="C24" s="3"/>
      <c r="D24" s="3"/>
      <c r="E24" s="3"/>
      <c r="F24" s="3"/>
      <c r="G24" s="3"/>
      <c r="H24" s="3"/>
      <c r="I24" s="3"/>
      <c r="J24" s="3"/>
      <c r="K24" s="3"/>
    </row>
    <row r="25" spans="1:11" ht="16">
      <c r="A25" s="3"/>
      <c r="B25" s="3"/>
      <c r="C25" s="3"/>
      <c r="D25" s="3"/>
      <c r="E25" s="3"/>
      <c r="F25" s="3"/>
      <c r="G25" s="3"/>
      <c r="H25" s="3"/>
      <c r="I25" s="3"/>
      <c r="J25" s="3"/>
      <c r="K25" s="3"/>
    </row>
  </sheetData>
  <mergeCells count="2">
    <mergeCell ref="A3:F3"/>
    <mergeCell ref="A15:B15"/>
  </mergeCells>
  <hyperlinks>
    <hyperlink ref="A1" location="Index!A1" display="Index" xr:uid="{F1F9F03D-FA1A-4149-92EC-A27F4A023B26}"/>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sheetPr>
  <dimension ref="A1:AB997"/>
  <sheetViews>
    <sheetView topLeftCell="A104" zoomScale="87" workbookViewId="0"/>
  </sheetViews>
  <sheetFormatPr baseColWidth="10" defaultColWidth="14.33203125" defaultRowHeight="15.75" customHeight="1"/>
  <cols>
    <col min="1" max="1" width="0.33203125" customWidth="1"/>
    <col min="2" max="2" width="20.5" customWidth="1"/>
    <col min="3" max="15" width="12" customWidth="1"/>
    <col min="16" max="16" width="22.33203125" customWidth="1"/>
    <col min="17" max="17" width="32.6640625" customWidth="1"/>
    <col min="18" max="18" width="16" customWidth="1"/>
    <col min="19" max="19" width="37.5" customWidth="1"/>
    <col min="20" max="20" width="9.5" customWidth="1"/>
    <col min="21" max="21" width="53.33203125" customWidth="1"/>
    <col min="22" max="22" width="9.5" customWidth="1"/>
    <col min="23" max="23" width="11.5" customWidth="1"/>
    <col min="24" max="32" width="8.83203125" customWidth="1"/>
  </cols>
  <sheetData>
    <row r="1" spans="1:28" ht="25">
      <c r="A1" s="605"/>
      <c r="B1" s="438" t="s">
        <v>0</v>
      </c>
      <c r="C1" s="606"/>
      <c r="D1" s="607"/>
      <c r="E1" s="607"/>
      <c r="F1" s="607"/>
      <c r="G1" s="607"/>
      <c r="H1" s="607"/>
      <c r="I1" s="607"/>
      <c r="J1" s="607"/>
      <c r="K1" s="607"/>
      <c r="L1" s="607"/>
      <c r="M1" s="607"/>
      <c r="N1" s="607"/>
      <c r="O1" s="607"/>
      <c r="P1" s="607"/>
    </row>
    <row r="2" spans="1:28" ht="12.75" customHeight="1" thickBot="1">
      <c r="A2" s="605"/>
    </row>
    <row r="3" spans="1:28" ht="55" customHeight="1" thickTop="1" thickBot="1">
      <c r="A3" s="605"/>
      <c r="B3" s="1060" t="s">
        <v>585</v>
      </c>
      <c r="C3" s="828" t="s">
        <v>586</v>
      </c>
      <c r="D3" s="1412"/>
      <c r="E3" s="1412"/>
      <c r="F3" s="1412"/>
      <c r="G3" s="1412"/>
      <c r="H3" s="1412"/>
      <c r="I3" s="1412"/>
      <c r="J3" s="1412"/>
      <c r="K3" s="1412"/>
      <c r="L3" s="1412"/>
      <c r="M3" s="1412"/>
      <c r="N3" s="1412"/>
      <c r="O3" s="1412"/>
      <c r="P3" s="608">
        <f>D29+E29</f>
        <v>1582.6536968762659</v>
      </c>
      <c r="Q3" s="609" t="s">
        <v>587</v>
      </c>
      <c r="U3" s="1538" t="s">
        <v>588</v>
      </c>
      <c r="V3" s="1567">
        <v>4</v>
      </c>
      <c r="W3" s="1062" t="s">
        <v>589</v>
      </c>
      <c r="X3" s="1522" t="s">
        <v>1090</v>
      </c>
    </row>
    <row r="4" spans="1:28" ht="18" thickTop="1" thickBot="1">
      <c r="A4" s="605"/>
      <c r="B4" s="639" t="s">
        <v>590</v>
      </c>
      <c r="C4" s="611"/>
      <c r="D4" s="843">
        <v>1</v>
      </c>
      <c r="E4" s="843">
        <v>2</v>
      </c>
      <c r="F4" s="843">
        <v>3</v>
      </c>
      <c r="G4" s="843">
        <v>4</v>
      </c>
      <c r="H4" s="843">
        <v>5</v>
      </c>
      <c r="I4" s="843">
        <v>6</v>
      </c>
      <c r="J4" s="843">
        <v>7</v>
      </c>
      <c r="K4" s="843">
        <v>8</v>
      </c>
      <c r="L4" s="843">
        <v>9</v>
      </c>
      <c r="M4" s="843">
        <v>10</v>
      </c>
      <c r="N4" s="843">
        <v>11</v>
      </c>
      <c r="O4" s="844">
        <v>12</v>
      </c>
      <c r="P4" s="614" t="s">
        <v>635</v>
      </c>
      <c r="U4" s="1068" t="s">
        <v>591</v>
      </c>
      <c r="V4" s="1352">
        <f>13*X4</f>
        <v>13</v>
      </c>
      <c r="W4" s="1063"/>
      <c r="X4" s="1523">
        <v>1</v>
      </c>
    </row>
    <row r="5" spans="1:28" ht="17" thickTop="1">
      <c r="A5" s="616"/>
      <c r="B5" s="617" t="s">
        <v>592</v>
      </c>
      <c r="C5" s="841"/>
      <c r="D5" s="845">
        <f t="shared" ref="D5:L5" si="0">D3*$P$29</f>
        <v>0</v>
      </c>
      <c r="E5" s="846">
        <f t="shared" si="0"/>
        <v>0</v>
      </c>
      <c r="F5" s="846">
        <f t="shared" si="0"/>
        <v>0</v>
      </c>
      <c r="G5" s="846">
        <f t="shared" si="0"/>
        <v>0</v>
      </c>
      <c r="H5" s="846">
        <f t="shared" si="0"/>
        <v>0</v>
      </c>
      <c r="I5" s="846">
        <f t="shared" si="0"/>
        <v>0</v>
      </c>
      <c r="J5" s="846">
        <f t="shared" si="0"/>
        <v>0</v>
      </c>
      <c r="K5" s="846">
        <f t="shared" si="0"/>
        <v>0</v>
      </c>
      <c r="L5" s="846">
        <f t="shared" si="0"/>
        <v>0</v>
      </c>
      <c r="M5" s="846">
        <f>0.33*P5</f>
        <v>522.27571996916777</v>
      </c>
      <c r="N5" s="846">
        <f>0.33*P5</f>
        <v>522.27571996916777</v>
      </c>
      <c r="O5" s="847">
        <f>0.33*P5</f>
        <v>522.27571996916777</v>
      </c>
      <c r="P5" s="620">
        <f>D29+E29</f>
        <v>1582.6536968762659</v>
      </c>
      <c r="U5" s="1068" t="s">
        <v>595</v>
      </c>
      <c r="V5" s="1067">
        <f>V4*1.5</f>
        <v>19.5</v>
      </c>
      <c r="W5" s="1063"/>
    </row>
    <row r="6" spans="1:28" ht="16">
      <c r="A6" s="605"/>
      <c r="B6" s="617" t="s">
        <v>594</v>
      </c>
      <c r="C6" s="841"/>
      <c r="D6" s="848"/>
      <c r="E6" s="842"/>
      <c r="F6" s="842"/>
      <c r="G6" s="842"/>
      <c r="H6" s="842"/>
      <c r="I6" s="842"/>
      <c r="J6" s="842"/>
      <c r="K6" s="842"/>
      <c r="L6" s="842"/>
      <c r="M6" s="842"/>
      <c r="N6" s="842"/>
      <c r="O6" s="849"/>
      <c r="P6" s="622"/>
      <c r="U6" s="1068" t="s">
        <v>597</v>
      </c>
      <c r="V6" s="1066">
        <f>0.3*V4/12</f>
        <v>0.32500000000000001</v>
      </c>
      <c r="W6" s="1064"/>
    </row>
    <row r="7" spans="1:28" ht="17" thickBot="1">
      <c r="A7" s="605"/>
      <c r="B7" s="623" t="s">
        <v>596</v>
      </c>
      <c r="C7" s="841"/>
      <c r="D7" s="1413"/>
      <c r="E7" s="1414"/>
      <c r="F7" s="1414"/>
      <c r="G7" s="1414"/>
      <c r="H7" s="1414"/>
      <c r="I7" s="1414"/>
      <c r="J7" s="1414"/>
      <c r="K7" s="1414"/>
      <c r="L7" s="1414"/>
      <c r="M7" s="1414">
        <f t="shared" ref="M7:O7" si="1">$R$16</f>
        <v>640</v>
      </c>
      <c r="N7" s="1414">
        <f t="shared" si="1"/>
        <v>640</v>
      </c>
      <c r="O7" s="1415">
        <f t="shared" si="1"/>
        <v>640</v>
      </c>
      <c r="P7" s="622">
        <f>SUM(D7:O7)*V12</f>
        <v>1574.3999999999999</v>
      </c>
      <c r="U7" s="1069" t="s">
        <v>600</v>
      </c>
      <c r="V7" s="1353">
        <v>10.3</v>
      </c>
      <c r="W7" s="1065"/>
    </row>
    <row r="8" spans="1:28" ht="16">
      <c r="A8" s="605"/>
      <c r="B8" s="617" t="s">
        <v>599</v>
      </c>
      <c r="C8" s="841"/>
      <c r="D8" s="848">
        <f t="shared" ref="D8:O8" si="2">0</f>
        <v>0</v>
      </c>
      <c r="E8" s="842">
        <f t="shared" si="2"/>
        <v>0</v>
      </c>
      <c r="F8" s="842">
        <f t="shared" si="2"/>
        <v>0</v>
      </c>
      <c r="G8" s="842">
        <f t="shared" si="2"/>
        <v>0</v>
      </c>
      <c r="H8" s="842">
        <f t="shared" si="2"/>
        <v>0</v>
      </c>
      <c r="I8" s="842">
        <f t="shared" si="2"/>
        <v>0</v>
      </c>
      <c r="J8" s="842">
        <f t="shared" si="2"/>
        <v>0</v>
      </c>
      <c r="K8" s="842">
        <f t="shared" si="2"/>
        <v>0</v>
      </c>
      <c r="L8" s="842">
        <f t="shared" si="2"/>
        <v>0</v>
      </c>
      <c r="M8" s="842">
        <f t="shared" si="2"/>
        <v>0</v>
      </c>
      <c r="N8" s="842">
        <f t="shared" si="2"/>
        <v>0</v>
      </c>
      <c r="O8" s="849">
        <f t="shared" si="2"/>
        <v>0</v>
      </c>
      <c r="P8" s="622">
        <f>SUM(D8:O8)*V12</f>
        <v>0</v>
      </c>
    </row>
    <row r="9" spans="1:28" ht="16">
      <c r="A9" s="616"/>
      <c r="B9" s="617" t="s">
        <v>601</v>
      </c>
      <c r="C9" s="841"/>
      <c r="D9" s="848">
        <f t="shared" ref="D9:N9" si="3">D25*$R$21</f>
        <v>0</v>
      </c>
      <c r="E9" s="842">
        <f t="shared" si="3"/>
        <v>0</v>
      </c>
      <c r="F9" s="842">
        <f t="shared" si="3"/>
        <v>0</v>
      </c>
      <c r="G9" s="842">
        <f t="shared" si="3"/>
        <v>0</v>
      </c>
      <c r="H9" s="842">
        <f t="shared" si="3"/>
        <v>0</v>
      </c>
      <c r="I9" s="842">
        <f t="shared" si="3"/>
        <v>0</v>
      </c>
      <c r="J9" s="842">
        <f t="shared" si="3"/>
        <v>0</v>
      </c>
      <c r="K9" s="842">
        <f t="shared" si="3"/>
        <v>0</v>
      </c>
      <c r="L9" s="842">
        <f t="shared" si="3"/>
        <v>0</v>
      </c>
      <c r="M9" s="842">
        <f t="shared" si="3"/>
        <v>0</v>
      </c>
      <c r="N9" s="842">
        <f t="shared" si="3"/>
        <v>0</v>
      </c>
      <c r="O9" s="849">
        <f>O25*$R$21</f>
        <v>480</v>
      </c>
      <c r="P9" s="622">
        <f>SUM(D9:O9)*V12</f>
        <v>393.59999999999997</v>
      </c>
      <c r="R9" s="8"/>
      <c r="S9" s="3"/>
      <c r="T9" s="44"/>
    </row>
    <row r="10" spans="1:28" ht="17" thickBot="1">
      <c r="A10" s="605"/>
      <c r="B10" s="617" t="s">
        <v>602</v>
      </c>
      <c r="C10" s="841"/>
      <c r="D10" s="848">
        <f t="shared" ref="D10:O10" si="4">0</f>
        <v>0</v>
      </c>
      <c r="E10" s="842">
        <f t="shared" si="4"/>
        <v>0</v>
      </c>
      <c r="F10" s="842">
        <f t="shared" si="4"/>
        <v>0</v>
      </c>
      <c r="G10" s="842">
        <f t="shared" si="4"/>
        <v>0</v>
      </c>
      <c r="H10" s="842">
        <f t="shared" si="4"/>
        <v>0</v>
      </c>
      <c r="I10" s="842">
        <f t="shared" si="4"/>
        <v>0</v>
      </c>
      <c r="J10" s="842">
        <f t="shared" si="4"/>
        <v>0</v>
      </c>
      <c r="K10" s="842">
        <f t="shared" si="4"/>
        <v>0</v>
      </c>
      <c r="L10" s="842">
        <f t="shared" si="4"/>
        <v>0</v>
      </c>
      <c r="M10" s="842">
        <f t="shared" si="4"/>
        <v>0</v>
      </c>
      <c r="N10" s="842">
        <f t="shared" si="4"/>
        <v>0</v>
      </c>
      <c r="O10" s="849">
        <f t="shared" si="4"/>
        <v>0</v>
      </c>
      <c r="P10" s="622">
        <f>SUM(D10:O10)*V12</f>
        <v>0</v>
      </c>
      <c r="V10" s="3"/>
      <c r="W10" s="3"/>
      <c r="X10" s="3"/>
      <c r="Y10" s="3"/>
      <c r="Z10" s="625"/>
    </row>
    <row r="11" spans="1:28" ht="18" thickTop="1" thickBot="1">
      <c r="A11" s="605"/>
      <c r="B11" s="623" t="s">
        <v>603</v>
      </c>
      <c r="C11" s="841"/>
      <c r="D11" s="848">
        <f t="shared" ref="D11:M11" si="5">SUM(D7:D10)-D5</f>
        <v>0</v>
      </c>
      <c r="E11" s="842">
        <f t="shared" si="5"/>
        <v>0</v>
      </c>
      <c r="F11" s="842">
        <f t="shared" si="5"/>
        <v>0</v>
      </c>
      <c r="G11" s="842">
        <f t="shared" si="5"/>
        <v>0</v>
      </c>
      <c r="H11" s="842">
        <f t="shared" si="5"/>
        <v>0</v>
      </c>
      <c r="I11" s="842">
        <f t="shared" si="5"/>
        <v>0</v>
      </c>
      <c r="J11" s="842">
        <f t="shared" si="5"/>
        <v>0</v>
      </c>
      <c r="K11" s="842">
        <f t="shared" si="5"/>
        <v>0</v>
      </c>
      <c r="L11" s="842">
        <f t="shared" si="5"/>
        <v>0</v>
      </c>
      <c r="M11" s="842">
        <f t="shared" si="5"/>
        <v>117.72428003083223</v>
      </c>
      <c r="N11" s="842"/>
      <c r="O11" s="849"/>
      <c r="P11" s="622">
        <f>SUM(D11:O11)*V12</f>
        <v>96.533909625282419</v>
      </c>
      <c r="Q11" s="2051" t="s">
        <v>604</v>
      </c>
      <c r="R11" s="2052"/>
      <c r="S11" s="2053"/>
      <c r="U11" s="626" t="s">
        <v>182</v>
      </c>
      <c r="V11" s="627">
        <v>0</v>
      </c>
      <c r="W11" s="627">
        <v>1</v>
      </c>
      <c r="X11" s="627">
        <v>2</v>
      </c>
      <c r="Y11" s="627">
        <v>3</v>
      </c>
      <c r="Z11" s="627">
        <v>4</v>
      </c>
      <c r="AA11" s="628">
        <v>5</v>
      </c>
      <c r="AB11" s="3"/>
    </row>
    <row r="12" spans="1:28" ht="17" thickBot="1">
      <c r="A12" s="605"/>
      <c r="B12" s="617" t="s">
        <v>605</v>
      </c>
      <c r="C12" s="841"/>
      <c r="D12" s="848"/>
      <c r="E12" s="842"/>
      <c r="F12" s="842"/>
      <c r="G12" s="842"/>
      <c r="H12" s="842"/>
      <c r="I12" s="842"/>
      <c r="J12" s="842"/>
      <c r="K12" s="842"/>
      <c r="L12" s="842"/>
      <c r="M12" s="842"/>
      <c r="N12" s="842"/>
      <c r="O12" s="849"/>
      <c r="P12" s="622"/>
      <c r="Q12" s="629" t="s">
        <v>606</v>
      </c>
      <c r="R12" s="837">
        <f>V3</f>
        <v>4</v>
      </c>
      <c r="S12" s="630" t="s">
        <v>607</v>
      </c>
      <c r="U12" s="631" t="s">
        <v>608</v>
      </c>
      <c r="V12" s="632">
        <v>0.82</v>
      </c>
      <c r="W12" s="632">
        <v>0.87</v>
      </c>
      <c r="X12" s="632">
        <v>0.93</v>
      </c>
      <c r="Y12" s="632">
        <v>0.96</v>
      </c>
      <c r="Z12" s="632">
        <v>0.97</v>
      </c>
      <c r="AA12" s="633">
        <v>0.98</v>
      </c>
      <c r="AB12" s="3"/>
    </row>
    <row r="13" spans="1:28" ht="17" thickBot="1">
      <c r="A13" s="605"/>
      <c r="B13" s="617" t="s">
        <v>609</v>
      </c>
      <c r="C13" s="841"/>
      <c r="D13" s="848">
        <f t="shared" ref="D13:O13" si="6">C14</f>
        <v>0</v>
      </c>
      <c r="E13" s="842">
        <f t="shared" si="6"/>
        <v>0</v>
      </c>
      <c r="F13" s="842">
        <f t="shared" si="6"/>
        <v>0</v>
      </c>
      <c r="G13" s="842">
        <f t="shared" si="6"/>
        <v>0</v>
      </c>
      <c r="H13" s="842">
        <f t="shared" si="6"/>
        <v>0</v>
      </c>
      <c r="I13" s="842">
        <f t="shared" si="6"/>
        <v>0</v>
      </c>
      <c r="J13" s="842">
        <f t="shared" si="6"/>
        <v>0</v>
      </c>
      <c r="K13" s="842">
        <f t="shared" si="6"/>
        <v>0</v>
      </c>
      <c r="L13" s="842">
        <f t="shared" si="6"/>
        <v>0</v>
      </c>
      <c r="M13" s="842">
        <f t="shared" si="6"/>
        <v>0</v>
      </c>
      <c r="N13" s="842">
        <f t="shared" si="6"/>
        <v>117.72428003083223</v>
      </c>
      <c r="O13" s="849">
        <f t="shared" si="6"/>
        <v>117.72428003083223</v>
      </c>
      <c r="P13" s="622"/>
      <c r="Q13" s="634" t="s">
        <v>610</v>
      </c>
      <c r="R13" s="635">
        <v>1</v>
      </c>
      <c r="S13" s="636" t="s">
        <v>611</v>
      </c>
      <c r="U13" s="637" t="s">
        <v>612</v>
      </c>
      <c r="V13" s="838">
        <v>0</v>
      </c>
      <c r="W13" s="839">
        <f t="shared" ref="W13:AA13" si="7">W12-V12</f>
        <v>5.0000000000000044E-2</v>
      </c>
      <c r="X13" s="839">
        <f t="shared" si="7"/>
        <v>6.0000000000000053E-2</v>
      </c>
      <c r="Y13" s="839">
        <f t="shared" si="7"/>
        <v>2.9999999999999916E-2</v>
      </c>
      <c r="Z13" s="839">
        <f t="shared" si="7"/>
        <v>1.0000000000000009E-2</v>
      </c>
      <c r="AA13" s="840">
        <f t="shared" si="7"/>
        <v>1.0000000000000009E-2</v>
      </c>
    </row>
    <row r="14" spans="1:28" ht="17" thickTop="1">
      <c r="A14" s="605"/>
      <c r="B14" s="617" t="s">
        <v>613</v>
      </c>
      <c r="C14" s="842">
        <f>D5</f>
        <v>0</v>
      </c>
      <c r="D14" s="848">
        <f t="shared" ref="D14:O14" si="8">MAX(D13+D11-C16,0)</f>
        <v>0</v>
      </c>
      <c r="E14" s="842">
        <f t="shared" si="8"/>
        <v>0</v>
      </c>
      <c r="F14" s="842">
        <f t="shared" si="8"/>
        <v>0</v>
      </c>
      <c r="G14" s="842">
        <f t="shared" si="8"/>
        <v>0</v>
      </c>
      <c r="H14" s="842">
        <f t="shared" si="8"/>
        <v>0</v>
      </c>
      <c r="I14" s="842">
        <f t="shared" si="8"/>
        <v>0</v>
      </c>
      <c r="J14" s="842">
        <f t="shared" si="8"/>
        <v>0</v>
      </c>
      <c r="K14" s="842">
        <f t="shared" si="8"/>
        <v>0</v>
      </c>
      <c r="L14" s="842">
        <f t="shared" si="8"/>
        <v>0</v>
      </c>
      <c r="M14" s="842">
        <f t="shared" si="8"/>
        <v>117.72428003083223</v>
      </c>
      <c r="N14" s="842">
        <f t="shared" si="8"/>
        <v>117.72428003083223</v>
      </c>
      <c r="O14" s="849">
        <f t="shared" si="8"/>
        <v>117.72428003083223</v>
      </c>
      <c r="P14" s="622">
        <f>O14*V12</f>
        <v>96.533909625282419</v>
      </c>
      <c r="Q14" s="634" t="s">
        <v>614</v>
      </c>
      <c r="R14" s="635">
        <v>8</v>
      </c>
      <c r="S14" s="636" t="s">
        <v>615</v>
      </c>
    </row>
    <row r="15" spans="1:28" ht="16">
      <c r="A15" s="616"/>
      <c r="B15" s="617" t="s">
        <v>616</v>
      </c>
      <c r="C15" s="841"/>
      <c r="D15" s="848">
        <f t="shared" ref="D15:O15" si="9">(D13+D14)/2</f>
        <v>0</v>
      </c>
      <c r="E15" s="842">
        <f t="shared" si="9"/>
        <v>0</v>
      </c>
      <c r="F15" s="842">
        <f t="shared" si="9"/>
        <v>0</v>
      </c>
      <c r="G15" s="842">
        <f t="shared" si="9"/>
        <v>0</v>
      </c>
      <c r="H15" s="842">
        <f t="shared" si="9"/>
        <v>0</v>
      </c>
      <c r="I15" s="842">
        <f t="shared" si="9"/>
        <v>0</v>
      </c>
      <c r="J15" s="842">
        <f t="shared" si="9"/>
        <v>0</v>
      </c>
      <c r="K15" s="842">
        <f t="shared" si="9"/>
        <v>0</v>
      </c>
      <c r="L15" s="842">
        <f t="shared" si="9"/>
        <v>0</v>
      </c>
      <c r="M15" s="842">
        <f t="shared" si="9"/>
        <v>58.862140015416117</v>
      </c>
      <c r="N15" s="842">
        <f t="shared" si="9"/>
        <v>117.72428003083223</v>
      </c>
      <c r="O15" s="849">
        <f t="shared" si="9"/>
        <v>117.72428003083223</v>
      </c>
      <c r="P15" s="622">
        <f>AVERAGE(D15:O15)*V12</f>
        <v>20.111231171933838</v>
      </c>
      <c r="Q15" s="634" t="s">
        <v>617</v>
      </c>
      <c r="R15" s="638">
        <v>20</v>
      </c>
      <c r="S15" s="636"/>
      <c r="U15" s="813"/>
    </row>
    <row r="16" spans="1:28" ht="17" thickBot="1">
      <c r="A16" s="616"/>
      <c r="B16" s="639" t="s">
        <v>618</v>
      </c>
      <c r="C16" s="678"/>
      <c r="D16" s="850">
        <f t="shared" ref="D16:O16" si="10">MAX(C16-D11-D13,0)</f>
        <v>0</v>
      </c>
      <c r="E16" s="851">
        <f t="shared" si="10"/>
        <v>0</v>
      </c>
      <c r="F16" s="851">
        <f t="shared" si="10"/>
        <v>0</v>
      </c>
      <c r="G16" s="851">
        <f t="shared" si="10"/>
        <v>0</v>
      </c>
      <c r="H16" s="851">
        <f t="shared" si="10"/>
        <v>0</v>
      </c>
      <c r="I16" s="851">
        <f t="shared" si="10"/>
        <v>0</v>
      </c>
      <c r="J16" s="851">
        <f t="shared" si="10"/>
        <v>0</v>
      </c>
      <c r="K16" s="851">
        <f t="shared" si="10"/>
        <v>0</v>
      </c>
      <c r="L16" s="851">
        <f t="shared" si="10"/>
        <v>0</v>
      </c>
      <c r="M16" s="851">
        <f t="shared" si="10"/>
        <v>0</v>
      </c>
      <c r="N16" s="851">
        <f t="shared" si="10"/>
        <v>0</v>
      </c>
      <c r="O16" s="852">
        <f t="shared" si="10"/>
        <v>0</v>
      </c>
      <c r="P16" s="642">
        <f>SUM(D16:O16)</f>
        <v>0</v>
      </c>
      <c r="Q16" s="643" t="s">
        <v>619</v>
      </c>
      <c r="R16" s="8">
        <f>R12*R14*R15</f>
        <v>640</v>
      </c>
      <c r="S16" s="644" t="s">
        <v>620</v>
      </c>
      <c r="U16" s="813"/>
    </row>
    <row r="17" spans="1:21" ht="18" thickTop="1" thickBot="1">
      <c r="A17" s="616"/>
      <c r="B17" s="645" t="s">
        <v>621</v>
      </c>
      <c r="C17" s="618"/>
      <c r="D17" s="646"/>
      <c r="E17" s="646"/>
      <c r="F17" s="646"/>
      <c r="G17" s="646"/>
      <c r="H17" s="646"/>
      <c r="I17" s="646"/>
      <c r="J17" s="646"/>
      <c r="K17" s="646"/>
      <c r="L17" s="646"/>
      <c r="M17" s="646"/>
      <c r="N17" s="646"/>
      <c r="O17" s="647"/>
      <c r="P17" s="647"/>
      <c r="Q17" s="648" t="s">
        <v>622</v>
      </c>
      <c r="R17" s="649">
        <f>R16*R13</f>
        <v>640</v>
      </c>
      <c r="S17" s="636" t="s">
        <v>623</v>
      </c>
      <c r="U17" s="812"/>
    </row>
    <row r="18" spans="1:21" ht="16">
      <c r="A18" s="616"/>
      <c r="B18" s="623" t="s">
        <v>624</v>
      </c>
      <c r="C18" s="650">
        <f>$V$4/R12</f>
        <v>3.25</v>
      </c>
      <c r="D18" s="651">
        <f t="shared" ref="D18:O18" si="11">D7*$C18</f>
        <v>0</v>
      </c>
      <c r="E18" s="651">
        <f t="shared" si="11"/>
        <v>0</v>
      </c>
      <c r="F18" s="651">
        <f t="shared" si="11"/>
        <v>0</v>
      </c>
      <c r="G18" s="651">
        <f t="shared" si="11"/>
        <v>0</v>
      </c>
      <c r="H18" s="651">
        <f t="shared" si="11"/>
        <v>0</v>
      </c>
      <c r="I18" s="651">
        <f t="shared" si="11"/>
        <v>0</v>
      </c>
      <c r="J18" s="651">
        <f t="shared" si="11"/>
        <v>0</v>
      </c>
      <c r="K18" s="651">
        <f t="shared" si="11"/>
        <v>0</v>
      </c>
      <c r="L18" s="651">
        <f t="shared" si="11"/>
        <v>0</v>
      </c>
      <c r="M18" s="651">
        <f t="shared" si="11"/>
        <v>2080</v>
      </c>
      <c r="N18" s="651">
        <f t="shared" si="11"/>
        <v>2080</v>
      </c>
      <c r="O18" s="652">
        <f t="shared" si="11"/>
        <v>2080</v>
      </c>
      <c r="P18" s="652">
        <f t="shared" ref="P18:P23" si="12">SUM(D18:O18)</f>
        <v>6240</v>
      </c>
      <c r="Q18" s="14" t="s">
        <v>625</v>
      </c>
      <c r="R18" s="14">
        <f>MAX(D25:O25)</f>
        <v>1</v>
      </c>
      <c r="S18" s="653" t="s">
        <v>611</v>
      </c>
      <c r="U18" s="812"/>
    </row>
    <row r="19" spans="1:21" ht="16">
      <c r="A19" s="616"/>
      <c r="B19" s="623" t="s">
        <v>626</v>
      </c>
      <c r="C19" s="650">
        <f>C18*1.5</f>
        <v>4.875</v>
      </c>
      <c r="D19" s="651">
        <f t="shared" ref="D19:O19" si="13">D8*$C19</f>
        <v>0</v>
      </c>
      <c r="E19" s="651">
        <f t="shared" si="13"/>
        <v>0</v>
      </c>
      <c r="F19" s="651">
        <f t="shared" si="13"/>
        <v>0</v>
      </c>
      <c r="G19" s="651">
        <f t="shared" si="13"/>
        <v>0</v>
      </c>
      <c r="H19" s="651">
        <f t="shared" si="13"/>
        <v>0</v>
      </c>
      <c r="I19" s="651">
        <f t="shared" si="13"/>
        <v>0</v>
      </c>
      <c r="J19" s="651">
        <f t="shared" si="13"/>
        <v>0</v>
      </c>
      <c r="K19" s="651">
        <f t="shared" si="13"/>
        <v>0</v>
      </c>
      <c r="L19" s="651">
        <f t="shared" si="13"/>
        <v>0</v>
      </c>
      <c r="M19" s="651">
        <f t="shared" si="13"/>
        <v>0</v>
      </c>
      <c r="N19" s="651">
        <f t="shared" si="13"/>
        <v>0</v>
      </c>
      <c r="O19" s="652">
        <f t="shared" si="13"/>
        <v>0</v>
      </c>
      <c r="P19" s="652">
        <f t="shared" si="12"/>
        <v>0</v>
      </c>
      <c r="Q19" s="634" t="s">
        <v>614</v>
      </c>
      <c r="R19" s="635">
        <v>6</v>
      </c>
      <c r="S19" s="636" t="s">
        <v>615</v>
      </c>
      <c r="U19" s="812"/>
    </row>
    <row r="20" spans="1:21" ht="16">
      <c r="A20" s="616"/>
      <c r="B20" s="623" t="s">
        <v>627</v>
      </c>
      <c r="C20" s="650">
        <f>$V$7/R12</f>
        <v>2.5750000000000002</v>
      </c>
      <c r="D20" s="651">
        <f t="shared" ref="D20:N20" si="14">D9*$C20</f>
        <v>0</v>
      </c>
      <c r="E20" s="651">
        <f t="shared" si="14"/>
        <v>0</v>
      </c>
      <c r="F20" s="651">
        <f t="shared" si="14"/>
        <v>0</v>
      </c>
      <c r="G20" s="651">
        <f t="shared" si="14"/>
        <v>0</v>
      </c>
      <c r="H20" s="651">
        <f t="shared" si="14"/>
        <v>0</v>
      </c>
      <c r="I20" s="651">
        <f t="shared" si="14"/>
        <v>0</v>
      </c>
      <c r="J20" s="651">
        <f t="shared" si="14"/>
        <v>0</v>
      </c>
      <c r="K20" s="651">
        <f t="shared" si="14"/>
        <v>0</v>
      </c>
      <c r="L20" s="651">
        <f t="shared" si="14"/>
        <v>0</v>
      </c>
      <c r="M20" s="651">
        <f t="shared" si="14"/>
        <v>0</v>
      </c>
      <c r="N20" s="651">
        <f t="shared" si="14"/>
        <v>0</v>
      </c>
      <c r="O20" s="652">
        <f>O9*$C20</f>
        <v>1236</v>
      </c>
      <c r="P20" s="652">
        <f t="shared" si="12"/>
        <v>1236</v>
      </c>
      <c r="Q20" s="634" t="s">
        <v>617</v>
      </c>
      <c r="R20" s="14">
        <f>R15</f>
        <v>20</v>
      </c>
      <c r="S20" s="636"/>
      <c r="U20" s="812"/>
    </row>
    <row r="21" spans="1:21" ht="16">
      <c r="A21" s="616"/>
      <c r="B21" s="623" t="s">
        <v>628</v>
      </c>
      <c r="C21" s="652"/>
      <c r="D21" s="651">
        <f t="shared" ref="D21:N21" si="15">D10*$C21</f>
        <v>0</v>
      </c>
      <c r="E21" s="651">
        <f t="shared" si="15"/>
        <v>0</v>
      </c>
      <c r="F21" s="651">
        <f t="shared" si="15"/>
        <v>0</v>
      </c>
      <c r="G21" s="651">
        <f t="shared" si="15"/>
        <v>0</v>
      </c>
      <c r="H21" s="651">
        <f t="shared" si="15"/>
        <v>0</v>
      </c>
      <c r="I21" s="651">
        <f t="shared" si="15"/>
        <v>0</v>
      </c>
      <c r="J21" s="651">
        <f t="shared" si="15"/>
        <v>0</v>
      </c>
      <c r="K21" s="651">
        <f t="shared" si="15"/>
        <v>0</v>
      </c>
      <c r="L21" s="651">
        <f t="shared" si="15"/>
        <v>0</v>
      </c>
      <c r="M21" s="651">
        <f t="shared" si="15"/>
        <v>0</v>
      </c>
      <c r="N21" s="651">
        <f t="shared" si="15"/>
        <v>0</v>
      </c>
      <c r="O21" s="652">
        <f>O10*$C21</f>
        <v>0</v>
      </c>
      <c r="P21" s="652">
        <f t="shared" si="12"/>
        <v>0</v>
      </c>
      <c r="Q21" s="643" t="s">
        <v>629</v>
      </c>
      <c r="R21" s="8">
        <f>R19*R20*R12</f>
        <v>480</v>
      </c>
      <c r="S21" s="644" t="s">
        <v>620</v>
      </c>
      <c r="U21" s="812"/>
    </row>
    <row r="22" spans="1:21" ht="16">
      <c r="A22" s="605"/>
      <c r="B22" s="623" t="s">
        <v>630</v>
      </c>
      <c r="C22" s="650">
        <f>V6</f>
        <v>0.32500000000000001</v>
      </c>
      <c r="D22" s="651">
        <f t="shared" ref="D22:L22" si="16">D15*$C22</f>
        <v>0</v>
      </c>
      <c r="E22" s="651">
        <f t="shared" si="16"/>
        <v>0</v>
      </c>
      <c r="F22" s="651">
        <f t="shared" si="16"/>
        <v>0</v>
      </c>
      <c r="G22" s="651">
        <f t="shared" si="16"/>
        <v>0</v>
      </c>
      <c r="H22" s="651">
        <f t="shared" si="16"/>
        <v>0</v>
      </c>
      <c r="I22" s="651">
        <f t="shared" si="16"/>
        <v>0</v>
      </c>
      <c r="J22" s="651">
        <f t="shared" si="16"/>
        <v>0</v>
      </c>
      <c r="K22" s="651">
        <f t="shared" si="16"/>
        <v>0</v>
      </c>
      <c r="L22" s="651">
        <f t="shared" si="16"/>
        <v>0</v>
      </c>
      <c r="M22" s="651">
        <f>M15*$C22</f>
        <v>19.130195505010239</v>
      </c>
      <c r="N22" s="651">
        <f>N7*C22</f>
        <v>208</v>
      </c>
      <c r="O22" s="652">
        <f>O7*C22</f>
        <v>208</v>
      </c>
      <c r="P22" s="652">
        <f t="shared" si="12"/>
        <v>435.13019550501025</v>
      </c>
      <c r="Q22" s="648" t="s">
        <v>631</v>
      </c>
      <c r="R22" s="649">
        <f>R18*R21</f>
        <v>480</v>
      </c>
      <c r="S22" s="654" t="s">
        <v>623</v>
      </c>
      <c r="U22" s="812"/>
    </row>
    <row r="23" spans="1:21" ht="16">
      <c r="A23" s="655"/>
      <c r="B23" s="656" t="s">
        <v>632</v>
      </c>
      <c r="C23" s="657"/>
      <c r="D23" s="658">
        <f t="shared" ref="D23:O23" si="17">D16*$C23</f>
        <v>0</v>
      </c>
      <c r="E23" s="658">
        <f t="shared" si="17"/>
        <v>0</v>
      </c>
      <c r="F23" s="658">
        <f t="shared" si="17"/>
        <v>0</v>
      </c>
      <c r="G23" s="658">
        <f t="shared" si="17"/>
        <v>0</v>
      </c>
      <c r="H23" s="658">
        <f t="shared" si="17"/>
        <v>0</v>
      </c>
      <c r="I23" s="658">
        <f t="shared" si="17"/>
        <v>0</v>
      </c>
      <c r="J23" s="658">
        <f t="shared" si="17"/>
        <v>0</v>
      </c>
      <c r="K23" s="658">
        <f t="shared" si="17"/>
        <v>0</v>
      </c>
      <c r="L23" s="658">
        <f t="shared" si="17"/>
        <v>0</v>
      </c>
      <c r="M23" s="658">
        <f t="shared" si="17"/>
        <v>0</v>
      </c>
      <c r="N23" s="658">
        <f t="shared" si="17"/>
        <v>0</v>
      </c>
      <c r="O23" s="657">
        <f t="shared" si="17"/>
        <v>0</v>
      </c>
      <c r="P23" s="657">
        <f t="shared" si="12"/>
        <v>0</v>
      </c>
      <c r="U23" s="812"/>
    </row>
    <row r="24" spans="1:21" ht="16">
      <c r="A24" s="659"/>
      <c r="B24" s="639" t="s">
        <v>381</v>
      </c>
      <c r="C24" s="640"/>
      <c r="D24" s="658">
        <f t="shared" ref="D24:P24" si="18">SUM(D18:D23)</f>
        <v>0</v>
      </c>
      <c r="E24" s="658">
        <f t="shared" si="18"/>
        <v>0</v>
      </c>
      <c r="F24" s="658">
        <f t="shared" si="18"/>
        <v>0</v>
      </c>
      <c r="G24" s="658">
        <f t="shared" si="18"/>
        <v>0</v>
      </c>
      <c r="H24" s="658">
        <f t="shared" si="18"/>
        <v>0</v>
      </c>
      <c r="I24" s="658">
        <f t="shared" si="18"/>
        <v>0</v>
      </c>
      <c r="J24" s="658">
        <f t="shared" si="18"/>
        <v>0</v>
      </c>
      <c r="K24" s="658">
        <f t="shared" si="18"/>
        <v>0</v>
      </c>
      <c r="L24" s="658">
        <f t="shared" si="18"/>
        <v>0</v>
      </c>
      <c r="M24" s="658">
        <f t="shared" si="18"/>
        <v>2099.1301955050103</v>
      </c>
      <c r="N24" s="658">
        <f t="shared" si="18"/>
        <v>2288</v>
      </c>
      <c r="O24" s="657">
        <f t="shared" si="18"/>
        <v>3524</v>
      </c>
      <c r="P24" s="660">
        <f t="shared" si="18"/>
        <v>7911.1301955050103</v>
      </c>
      <c r="U24" s="812"/>
    </row>
    <row r="25" spans="1:21" ht="16">
      <c r="B25" s="2050" t="s">
        <v>633</v>
      </c>
      <c r="C25" s="1999"/>
      <c r="D25" s="661"/>
      <c r="E25" s="661"/>
      <c r="F25" s="661"/>
      <c r="G25" s="661"/>
      <c r="H25" s="661"/>
      <c r="I25" s="661"/>
      <c r="J25" s="661"/>
      <c r="K25" s="661"/>
      <c r="L25" s="661"/>
      <c r="M25" s="661"/>
      <c r="N25" s="661"/>
      <c r="O25" s="662">
        <v>1</v>
      </c>
      <c r="P25" s="663"/>
    </row>
    <row r="26" spans="1:21" ht="15" thickTop="1" thickBot="1"/>
    <row r="27" spans="1:21" ht="53" thickTop="1" thickBot="1">
      <c r="B27" s="1060" t="s">
        <v>634</v>
      </c>
      <c r="C27" s="828" t="s">
        <v>586</v>
      </c>
      <c r="D27" s="1416">
        <v>6.9860279441117765E-2</v>
      </c>
      <c r="E27" s="1416">
        <v>5.3892215568862277E-2</v>
      </c>
      <c r="F27" s="1416">
        <v>7.5848303393213579E-2</v>
      </c>
      <c r="G27" s="1416">
        <v>6.1876247504990017E-2</v>
      </c>
      <c r="H27" s="1416">
        <v>6.7864271457085831E-2</v>
      </c>
      <c r="I27" s="1416">
        <v>7.3852295409181631E-2</v>
      </c>
      <c r="J27" s="1416">
        <v>7.7844311377245512E-2</v>
      </c>
      <c r="K27" s="1416">
        <v>7.7844311377245512E-2</v>
      </c>
      <c r="L27" s="1416">
        <v>7.5848303393213579E-2</v>
      </c>
      <c r="M27" s="1416">
        <v>8.3832335329341312E-2</v>
      </c>
      <c r="N27" s="1416">
        <v>0.1377245508982036</v>
      </c>
      <c r="O27" s="1416">
        <v>0.1437125748502994</v>
      </c>
      <c r="P27" s="664">
        <f>SUM(D27:O27)</f>
        <v>1</v>
      </c>
    </row>
    <row r="28" spans="1:21" ht="18" thickTop="1" thickBot="1">
      <c r="B28" s="639" t="s">
        <v>590</v>
      </c>
      <c r="C28" s="611"/>
      <c r="D28" s="612">
        <v>1</v>
      </c>
      <c r="E28" s="612">
        <v>2</v>
      </c>
      <c r="F28" s="612">
        <v>3</v>
      </c>
      <c r="G28" s="612">
        <v>4</v>
      </c>
      <c r="H28" s="612">
        <v>5</v>
      </c>
      <c r="I28" s="612">
        <v>6</v>
      </c>
      <c r="J28" s="612">
        <v>7</v>
      </c>
      <c r="K28" s="612">
        <v>8</v>
      </c>
      <c r="L28" s="612">
        <v>9</v>
      </c>
      <c r="M28" s="612">
        <v>10</v>
      </c>
      <c r="N28" s="612">
        <v>11</v>
      </c>
      <c r="O28" s="613">
        <v>12</v>
      </c>
      <c r="P28" s="614" t="s">
        <v>846</v>
      </c>
    </row>
    <row r="29" spans="1:21" ht="17" thickTop="1">
      <c r="B29" s="617" t="s">
        <v>592</v>
      </c>
      <c r="C29" s="618"/>
      <c r="D29" s="619">
        <f t="shared" ref="D29:O29" si="19">D27*$P$29</f>
        <v>893.43353855918235</v>
      </c>
      <c r="E29" s="619">
        <f t="shared" si="19"/>
        <v>689.22015831708359</v>
      </c>
      <c r="F29" s="619">
        <f t="shared" si="19"/>
        <v>970.01355614996953</v>
      </c>
      <c r="G29" s="619">
        <f t="shared" si="19"/>
        <v>791.32684843813297</v>
      </c>
      <c r="H29" s="619">
        <f t="shared" si="19"/>
        <v>867.90686602892004</v>
      </c>
      <c r="I29" s="619">
        <f t="shared" si="19"/>
        <v>944.48688361970699</v>
      </c>
      <c r="J29" s="619">
        <f t="shared" si="19"/>
        <v>995.54022868023185</v>
      </c>
      <c r="K29" s="619">
        <f t="shared" si="19"/>
        <v>995.54022868023185</v>
      </c>
      <c r="L29" s="619">
        <f t="shared" si="19"/>
        <v>970.01355614996953</v>
      </c>
      <c r="M29" s="619">
        <f t="shared" si="19"/>
        <v>1072.1202462710187</v>
      </c>
      <c r="N29" s="619">
        <f t="shared" si="19"/>
        <v>1761.3404045881025</v>
      </c>
      <c r="O29" s="620">
        <f t="shared" si="19"/>
        <v>1837.9204221788893</v>
      </c>
      <c r="P29" s="622">
        <f>'MK Bases Model (Base Case)'!B16</f>
        <v>12788.862937661439</v>
      </c>
    </row>
    <row r="30" spans="1:21" ht="16">
      <c r="B30" s="617" t="s">
        <v>594</v>
      </c>
      <c r="C30" s="618"/>
      <c r="D30" s="621"/>
      <c r="E30" s="621"/>
      <c r="F30" s="621"/>
      <c r="G30" s="621"/>
      <c r="H30" s="621"/>
      <c r="I30" s="621"/>
      <c r="J30" s="621"/>
      <c r="K30" s="621"/>
      <c r="L30" s="621"/>
      <c r="M30" s="621"/>
      <c r="N30" s="621"/>
      <c r="O30" s="622"/>
      <c r="P30" s="622"/>
    </row>
    <row r="31" spans="1:21" ht="16">
      <c r="B31" s="623" t="s">
        <v>596</v>
      </c>
      <c r="C31" s="618"/>
      <c r="D31" s="619">
        <f t="shared" ref="D31:O31" si="20">$R$41</f>
        <v>640</v>
      </c>
      <c r="E31" s="619">
        <f t="shared" si="20"/>
        <v>640</v>
      </c>
      <c r="F31" s="619">
        <f t="shared" si="20"/>
        <v>640</v>
      </c>
      <c r="G31" s="619">
        <f t="shared" si="20"/>
        <v>640</v>
      </c>
      <c r="H31" s="619">
        <f t="shared" si="20"/>
        <v>640</v>
      </c>
      <c r="I31" s="619">
        <f t="shared" si="20"/>
        <v>640</v>
      </c>
      <c r="J31" s="619">
        <f t="shared" si="20"/>
        <v>640</v>
      </c>
      <c r="K31" s="619">
        <f t="shared" si="20"/>
        <v>640</v>
      </c>
      <c r="L31" s="619">
        <f t="shared" si="20"/>
        <v>640</v>
      </c>
      <c r="M31" s="619">
        <f t="shared" si="20"/>
        <v>640</v>
      </c>
      <c r="N31" s="619">
        <f t="shared" si="20"/>
        <v>640</v>
      </c>
      <c r="O31" s="620">
        <f t="shared" si="20"/>
        <v>640</v>
      </c>
      <c r="P31" s="622">
        <f>SUM(D31:O31)*W12</f>
        <v>6681.6</v>
      </c>
    </row>
    <row r="32" spans="1:21" ht="16">
      <c r="B32" s="617" t="s">
        <v>599</v>
      </c>
      <c r="C32" s="618"/>
      <c r="D32" s="619">
        <f t="shared" ref="D32:O32" si="21">0</f>
        <v>0</v>
      </c>
      <c r="E32" s="619">
        <f t="shared" si="21"/>
        <v>0</v>
      </c>
      <c r="F32" s="619">
        <f t="shared" si="21"/>
        <v>0</v>
      </c>
      <c r="G32" s="619">
        <f t="shared" si="21"/>
        <v>0</v>
      </c>
      <c r="H32" s="619">
        <f t="shared" si="21"/>
        <v>0</v>
      </c>
      <c r="I32" s="619">
        <f t="shared" si="21"/>
        <v>0</v>
      </c>
      <c r="J32" s="619">
        <f t="shared" si="21"/>
        <v>0</v>
      </c>
      <c r="K32" s="619">
        <f t="shared" si="21"/>
        <v>0</v>
      </c>
      <c r="L32" s="619">
        <f t="shared" si="21"/>
        <v>0</v>
      </c>
      <c r="M32" s="619">
        <f t="shared" si="21"/>
        <v>0</v>
      </c>
      <c r="N32" s="619">
        <f t="shared" si="21"/>
        <v>0</v>
      </c>
      <c r="O32" s="620">
        <f t="shared" si="21"/>
        <v>0</v>
      </c>
      <c r="P32" s="622">
        <f>SUM(D32:O32)*W12</f>
        <v>0</v>
      </c>
    </row>
    <row r="33" spans="2:19" ht="16">
      <c r="B33" s="617" t="s">
        <v>601</v>
      </c>
      <c r="C33" s="618"/>
      <c r="D33" s="619">
        <f t="shared" ref="D33:O33" si="22">D49*$R$45</f>
        <v>0</v>
      </c>
      <c r="E33" s="619">
        <f t="shared" si="22"/>
        <v>0</v>
      </c>
      <c r="F33" s="619">
        <f t="shared" si="22"/>
        <v>0</v>
      </c>
      <c r="G33" s="619">
        <f t="shared" si="22"/>
        <v>480</v>
      </c>
      <c r="H33" s="619">
        <f t="shared" si="22"/>
        <v>480</v>
      </c>
      <c r="I33" s="619">
        <f t="shared" si="22"/>
        <v>480</v>
      </c>
      <c r="J33" s="619">
        <f t="shared" si="22"/>
        <v>480</v>
      </c>
      <c r="K33" s="619">
        <f t="shared" si="22"/>
        <v>480</v>
      </c>
      <c r="L33" s="619">
        <f t="shared" si="22"/>
        <v>480</v>
      </c>
      <c r="M33" s="619">
        <f t="shared" si="22"/>
        <v>480</v>
      </c>
      <c r="N33" s="619">
        <f t="shared" si="22"/>
        <v>480</v>
      </c>
      <c r="O33" s="620">
        <f t="shared" si="22"/>
        <v>480</v>
      </c>
      <c r="P33" s="622">
        <f>SUM(D33:O33)*W12</f>
        <v>3758.4</v>
      </c>
    </row>
    <row r="34" spans="2:19" ht="16">
      <c r="B34" s="617" t="s">
        <v>602</v>
      </c>
      <c r="C34" s="618"/>
      <c r="D34" s="619">
        <f t="shared" ref="D34:O34" si="23">0</f>
        <v>0</v>
      </c>
      <c r="E34" s="619">
        <f t="shared" si="23"/>
        <v>0</v>
      </c>
      <c r="F34" s="619">
        <f t="shared" si="23"/>
        <v>0</v>
      </c>
      <c r="G34" s="619">
        <f t="shared" si="23"/>
        <v>0</v>
      </c>
      <c r="H34" s="619">
        <f t="shared" si="23"/>
        <v>0</v>
      </c>
      <c r="I34" s="619">
        <f t="shared" si="23"/>
        <v>0</v>
      </c>
      <c r="J34" s="619">
        <f t="shared" si="23"/>
        <v>0</v>
      </c>
      <c r="K34" s="619">
        <f t="shared" si="23"/>
        <v>0</v>
      </c>
      <c r="L34" s="619">
        <f t="shared" si="23"/>
        <v>0</v>
      </c>
      <c r="M34" s="619">
        <f t="shared" si="23"/>
        <v>0</v>
      </c>
      <c r="N34" s="619">
        <f t="shared" si="23"/>
        <v>0</v>
      </c>
      <c r="O34" s="620">
        <f t="shared" si="23"/>
        <v>0</v>
      </c>
      <c r="P34" s="622">
        <f>SUM(D34:O34)*W12</f>
        <v>0</v>
      </c>
    </row>
    <row r="35" spans="2:19" ht="16">
      <c r="B35" s="623" t="s">
        <v>603</v>
      </c>
      <c r="C35" s="618"/>
      <c r="D35" s="621">
        <f t="shared" ref="D35:O35" si="24">SUM(D31:D34)-D29</f>
        <v>-253.43353855918235</v>
      </c>
      <c r="E35" s="621">
        <f t="shared" si="24"/>
        <v>-49.220158317083587</v>
      </c>
      <c r="F35" s="621">
        <f t="shared" si="24"/>
        <v>-330.01355614996953</v>
      </c>
      <c r="G35" s="621">
        <f t="shared" si="24"/>
        <v>328.67315156186703</v>
      </c>
      <c r="H35" s="621">
        <f t="shared" si="24"/>
        <v>252.09313397107996</v>
      </c>
      <c r="I35" s="621">
        <f t="shared" si="24"/>
        <v>175.51311638029301</v>
      </c>
      <c r="J35" s="621">
        <f t="shared" si="24"/>
        <v>124.45977131976815</v>
      </c>
      <c r="K35" s="621">
        <f t="shared" si="24"/>
        <v>124.45977131976815</v>
      </c>
      <c r="L35" s="621">
        <f t="shared" si="24"/>
        <v>149.98644385003047</v>
      </c>
      <c r="M35" s="621">
        <f t="shared" si="24"/>
        <v>47.879753728981314</v>
      </c>
      <c r="N35" s="621">
        <f t="shared" si="24"/>
        <v>-641.3404045881025</v>
      </c>
      <c r="O35" s="622">
        <f t="shared" si="24"/>
        <v>-717.92042217888934</v>
      </c>
      <c r="P35" s="622">
        <f>SUM(D35:O35)*W12</f>
        <v>-686.31075576545209</v>
      </c>
      <c r="Q35" s="2051" t="s">
        <v>604</v>
      </c>
      <c r="R35" s="2052"/>
      <c r="S35" s="2053"/>
    </row>
    <row r="36" spans="2:19" ht="16">
      <c r="B36" s="617" t="s">
        <v>605</v>
      </c>
      <c r="C36" s="618"/>
      <c r="D36" s="621"/>
      <c r="E36" s="621"/>
      <c r="F36" s="621"/>
      <c r="G36" s="621"/>
      <c r="H36" s="621"/>
      <c r="I36" s="621"/>
      <c r="J36" s="621"/>
      <c r="K36" s="621"/>
      <c r="L36" s="621"/>
      <c r="M36" s="621"/>
      <c r="N36" s="621"/>
      <c r="O36" s="622"/>
      <c r="P36" s="622"/>
      <c r="Q36" s="629" t="s">
        <v>606</v>
      </c>
      <c r="R36" s="837">
        <f>V3</f>
        <v>4</v>
      </c>
      <c r="S36" s="630" t="s">
        <v>607</v>
      </c>
    </row>
    <row r="37" spans="2:19" ht="16">
      <c r="B37" s="617" t="s">
        <v>609</v>
      </c>
      <c r="C37" s="618"/>
      <c r="D37" s="619">
        <f t="shared" ref="D37:O37" si="25">C38</f>
        <v>1967.9999999999998</v>
      </c>
      <c r="E37" s="621">
        <f t="shared" si="25"/>
        <v>1714.5664614408174</v>
      </c>
      <c r="F37" s="621">
        <f t="shared" si="25"/>
        <v>1665.3463031237338</v>
      </c>
      <c r="G37" s="621">
        <f t="shared" si="25"/>
        <v>1335.3327469737642</v>
      </c>
      <c r="H37" s="621">
        <f t="shared" si="25"/>
        <v>1664.0058985356313</v>
      </c>
      <c r="I37" s="621">
        <f t="shared" si="25"/>
        <v>1916.0990325067114</v>
      </c>
      <c r="J37" s="621">
        <f t="shared" si="25"/>
        <v>2091.6121488870044</v>
      </c>
      <c r="K37" s="621">
        <f t="shared" si="25"/>
        <v>2216.0719202067726</v>
      </c>
      <c r="L37" s="621">
        <f t="shared" si="25"/>
        <v>2340.5316915265407</v>
      </c>
      <c r="M37" s="621">
        <f t="shared" si="25"/>
        <v>2490.5181353765711</v>
      </c>
      <c r="N37" s="621">
        <f t="shared" si="25"/>
        <v>2538.3978891055522</v>
      </c>
      <c r="O37" s="622">
        <f t="shared" si="25"/>
        <v>1897.0574845174497</v>
      </c>
      <c r="P37" s="622"/>
      <c r="Q37" s="634" t="s">
        <v>610</v>
      </c>
      <c r="R37" s="635">
        <v>1</v>
      </c>
      <c r="S37" s="636" t="s">
        <v>611</v>
      </c>
    </row>
    <row r="38" spans="2:19" ht="16">
      <c r="B38" s="617" t="s">
        <v>613</v>
      </c>
      <c r="C38" s="620">
        <f>SUM(P7:P10)</f>
        <v>1967.9999999999998</v>
      </c>
      <c r="D38" s="621">
        <f t="shared" ref="D38:O38" si="26">MAX(D37+D35-C40,0)</f>
        <v>1714.5664614408174</v>
      </c>
      <c r="E38" s="621">
        <f t="shared" si="26"/>
        <v>1665.3463031237338</v>
      </c>
      <c r="F38" s="621">
        <f t="shared" si="26"/>
        <v>1335.3327469737642</v>
      </c>
      <c r="G38" s="621">
        <f t="shared" si="26"/>
        <v>1664.0058985356313</v>
      </c>
      <c r="H38" s="621">
        <f t="shared" si="26"/>
        <v>1916.0990325067114</v>
      </c>
      <c r="I38" s="621">
        <f t="shared" si="26"/>
        <v>2091.6121488870044</v>
      </c>
      <c r="J38" s="621">
        <f t="shared" si="26"/>
        <v>2216.0719202067726</v>
      </c>
      <c r="K38" s="621">
        <f t="shared" si="26"/>
        <v>2340.5316915265407</v>
      </c>
      <c r="L38" s="621">
        <f t="shared" si="26"/>
        <v>2490.5181353765711</v>
      </c>
      <c r="M38" s="621">
        <f t="shared" si="26"/>
        <v>2538.3978891055522</v>
      </c>
      <c r="N38" s="621">
        <f t="shared" si="26"/>
        <v>1897.0574845174497</v>
      </c>
      <c r="O38" s="622">
        <f t="shared" si="26"/>
        <v>1179.1370623385603</v>
      </c>
      <c r="P38" s="622">
        <f>O38*W12</f>
        <v>1025.8492442345475</v>
      </c>
      <c r="Q38" s="634" t="s">
        <v>614</v>
      </c>
      <c r="R38" s="635">
        <v>8</v>
      </c>
      <c r="S38" s="636" t="s">
        <v>615</v>
      </c>
    </row>
    <row r="39" spans="2:19" ht="16">
      <c r="B39" s="617" t="s">
        <v>616</v>
      </c>
      <c r="C39" s="618"/>
      <c r="D39" s="621">
        <f t="shared" ref="D39:O39" si="27">(D37+D38)/2</f>
        <v>1841.2832307204085</v>
      </c>
      <c r="E39" s="621">
        <f t="shared" si="27"/>
        <v>1689.9563822822756</v>
      </c>
      <c r="F39" s="621">
        <f t="shared" si="27"/>
        <v>1500.339525048749</v>
      </c>
      <c r="G39" s="621">
        <f t="shared" si="27"/>
        <v>1499.6693227546978</v>
      </c>
      <c r="H39" s="621">
        <f t="shared" si="27"/>
        <v>1790.0524655211714</v>
      </c>
      <c r="I39" s="621">
        <f t="shared" si="27"/>
        <v>2003.8555906968579</v>
      </c>
      <c r="J39" s="621">
        <f t="shared" si="27"/>
        <v>2153.8420345468885</v>
      </c>
      <c r="K39" s="621">
        <f t="shared" si="27"/>
        <v>2278.3018058666567</v>
      </c>
      <c r="L39" s="621">
        <f t="shared" si="27"/>
        <v>2415.5249134515561</v>
      </c>
      <c r="M39" s="621">
        <f t="shared" si="27"/>
        <v>2514.4580122410616</v>
      </c>
      <c r="N39" s="621">
        <f t="shared" si="27"/>
        <v>2217.7276868115009</v>
      </c>
      <c r="O39" s="622">
        <f t="shared" si="27"/>
        <v>1538.0972734280049</v>
      </c>
      <c r="P39" s="622">
        <f>AVERAGE(D39:O39)*W12</f>
        <v>1699.6253476443126</v>
      </c>
      <c r="Q39" s="634" t="s">
        <v>617</v>
      </c>
      <c r="R39" s="638">
        <v>20</v>
      </c>
      <c r="S39" s="636"/>
    </row>
    <row r="40" spans="2:19" ht="16">
      <c r="B40" s="639" t="s">
        <v>618</v>
      </c>
      <c r="C40" s="640"/>
      <c r="D40" s="641">
        <f t="shared" ref="D40:O40" si="28">MAX(C40-D35-D37,0)</f>
        <v>0</v>
      </c>
      <c r="E40" s="641">
        <f t="shared" si="28"/>
        <v>0</v>
      </c>
      <c r="F40" s="641">
        <f t="shared" si="28"/>
        <v>0</v>
      </c>
      <c r="G40" s="641">
        <f t="shared" si="28"/>
        <v>0</v>
      </c>
      <c r="H40" s="641">
        <f t="shared" si="28"/>
        <v>0</v>
      </c>
      <c r="I40" s="641">
        <f t="shared" si="28"/>
        <v>0</v>
      </c>
      <c r="J40" s="641">
        <f t="shared" si="28"/>
        <v>0</v>
      </c>
      <c r="K40" s="641">
        <f t="shared" si="28"/>
        <v>0</v>
      </c>
      <c r="L40" s="641">
        <f t="shared" si="28"/>
        <v>0</v>
      </c>
      <c r="M40" s="641">
        <f t="shared" si="28"/>
        <v>0</v>
      </c>
      <c r="N40" s="641">
        <f t="shared" si="28"/>
        <v>0</v>
      </c>
      <c r="O40" s="642">
        <f t="shared" si="28"/>
        <v>0</v>
      </c>
      <c r="P40" s="642">
        <f>SUM(D40:O40)</f>
        <v>0</v>
      </c>
      <c r="Q40" s="643" t="s">
        <v>619</v>
      </c>
      <c r="R40" s="8">
        <f>R36*R38*R39</f>
        <v>640</v>
      </c>
      <c r="S40" s="644" t="s">
        <v>620</v>
      </c>
    </row>
    <row r="41" spans="2:19" ht="16">
      <c r="B41" s="623" t="s">
        <v>636</v>
      </c>
      <c r="C41" s="618"/>
      <c r="D41" s="646"/>
      <c r="E41" s="646"/>
      <c r="F41" s="646"/>
      <c r="G41" s="646"/>
      <c r="H41" s="646"/>
      <c r="I41" s="646"/>
      <c r="J41" s="646"/>
      <c r="K41" s="646"/>
      <c r="L41" s="646"/>
      <c r="M41" s="646"/>
      <c r="N41" s="646"/>
      <c r="O41" s="647"/>
      <c r="P41" s="647"/>
      <c r="Q41" s="648" t="s">
        <v>622</v>
      </c>
      <c r="R41" s="649">
        <f>R40*R37</f>
        <v>640</v>
      </c>
      <c r="S41" s="636" t="s">
        <v>623</v>
      </c>
    </row>
    <row r="42" spans="2:19" ht="16">
      <c r="B42" s="623" t="s">
        <v>624</v>
      </c>
      <c r="C42" s="650">
        <f>$V$4/R36</f>
        <v>3.25</v>
      </c>
      <c r="D42" s="651">
        <f t="shared" ref="D42:O42" si="29">D31*$C42</f>
        <v>2080</v>
      </c>
      <c r="E42" s="651">
        <f t="shared" si="29"/>
        <v>2080</v>
      </c>
      <c r="F42" s="651">
        <f t="shared" si="29"/>
        <v>2080</v>
      </c>
      <c r="G42" s="651">
        <f t="shared" si="29"/>
        <v>2080</v>
      </c>
      <c r="H42" s="651">
        <f t="shared" si="29"/>
        <v>2080</v>
      </c>
      <c r="I42" s="651">
        <f t="shared" si="29"/>
        <v>2080</v>
      </c>
      <c r="J42" s="651">
        <f t="shared" si="29"/>
        <v>2080</v>
      </c>
      <c r="K42" s="651">
        <f t="shared" si="29"/>
        <v>2080</v>
      </c>
      <c r="L42" s="651">
        <f t="shared" si="29"/>
        <v>2080</v>
      </c>
      <c r="M42" s="651">
        <f t="shared" si="29"/>
        <v>2080</v>
      </c>
      <c r="N42" s="651">
        <f t="shared" si="29"/>
        <v>2080</v>
      </c>
      <c r="O42" s="652">
        <f t="shared" si="29"/>
        <v>2080</v>
      </c>
      <c r="P42" s="652">
        <f t="shared" ref="P42:P47" si="30">SUM(D42:O42)</f>
        <v>24960</v>
      </c>
      <c r="Q42" s="14" t="s">
        <v>625</v>
      </c>
      <c r="R42" s="14">
        <f>MAX(D49:O49)</f>
        <v>1</v>
      </c>
      <c r="S42" s="653" t="s">
        <v>611</v>
      </c>
    </row>
    <row r="43" spans="2:19" ht="16">
      <c r="B43" s="623" t="s">
        <v>626</v>
      </c>
      <c r="C43" s="650">
        <f>C42*1.5</f>
        <v>4.875</v>
      </c>
      <c r="D43" s="651">
        <f t="shared" ref="D43:O43" si="31">D32*$C43</f>
        <v>0</v>
      </c>
      <c r="E43" s="651">
        <f t="shared" si="31"/>
        <v>0</v>
      </c>
      <c r="F43" s="651">
        <f t="shared" si="31"/>
        <v>0</v>
      </c>
      <c r="G43" s="651">
        <f t="shared" si="31"/>
        <v>0</v>
      </c>
      <c r="H43" s="651">
        <f t="shared" si="31"/>
        <v>0</v>
      </c>
      <c r="I43" s="651">
        <f t="shared" si="31"/>
        <v>0</v>
      </c>
      <c r="J43" s="651">
        <f t="shared" si="31"/>
        <v>0</v>
      </c>
      <c r="K43" s="651">
        <f t="shared" si="31"/>
        <v>0</v>
      </c>
      <c r="L43" s="651">
        <f t="shared" si="31"/>
        <v>0</v>
      </c>
      <c r="M43" s="651">
        <f t="shared" si="31"/>
        <v>0</v>
      </c>
      <c r="N43" s="651">
        <f t="shared" si="31"/>
        <v>0</v>
      </c>
      <c r="O43" s="652">
        <f t="shared" si="31"/>
        <v>0</v>
      </c>
      <c r="P43" s="652">
        <f t="shared" si="30"/>
        <v>0</v>
      </c>
      <c r="Q43" s="634" t="s">
        <v>614</v>
      </c>
      <c r="R43" s="635">
        <v>6</v>
      </c>
      <c r="S43" s="636" t="s">
        <v>615</v>
      </c>
    </row>
    <row r="44" spans="2:19" ht="16">
      <c r="B44" s="623" t="s">
        <v>627</v>
      </c>
      <c r="C44" s="650">
        <f>$V$7/R36</f>
        <v>2.5750000000000002</v>
      </c>
      <c r="D44" s="651">
        <f t="shared" ref="D44:O44" si="32">D33*$C44</f>
        <v>0</v>
      </c>
      <c r="E44" s="651">
        <f t="shared" si="32"/>
        <v>0</v>
      </c>
      <c r="F44" s="651">
        <f t="shared" si="32"/>
        <v>0</v>
      </c>
      <c r="G44" s="651">
        <f t="shared" si="32"/>
        <v>1236</v>
      </c>
      <c r="H44" s="651">
        <f t="shared" si="32"/>
        <v>1236</v>
      </c>
      <c r="I44" s="651">
        <f t="shared" si="32"/>
        <v>1236</v>
      </c>
      <c r="J44" s="651">
        <f t="shared" si="32"/>
        <v>1236</v>
      </c>
      <c r="K44" s="651">
        <f t="shared" si="32"/>
        <v>1236</v>
      </c>
      <c r="L44" s="651">
        <f t="shared" si="32"/>
        <v>1236</v>
      </c>
      <c r="M44" s="651">
        <f t="shared" si="32"/>
        <v>1236</v>
      </c>
      <c r="N44" s="651">
        <f t="shared" si="32"/>
        <v>1236</v>
      </c>
      <c r="O44" s="652">
        <f t="shared" si="32"/>
        <v>1236</v>
      </c>
      <c r="P44" s="652">
        <f t="shared" si="30"/>
        <v>11124</v>
      </c>
      <c r="Q44" s="634" t="s">
        <v>617</v>
      </c>
      <c r="R44" s="14">
        <f>R39</f>
        <v>20</v>
      </c>
      <c r="S44" s="636"/>
    </row>
    <row r="45" spans="2:19" ht="16">
      <c r="B45" s="623" t="s">
        <v>628</v>
      </c>
      <c r="C45" s="652"/>
      <c r="D45" s="651">
        <f t="shared" ref="D45:O45" si="33">D34*$C45</f>
        <v>0</v>
      </c>
      <c r="E45" s="651">
        <f t="shared" si="33"/>
        <v>0</v>
      </c>
      <c r="F45" s="651">
        <f t="shared" si="33"/>
        <v>0</v>
      </c>
      <c r="G45" s="651">
        <f t="shared" si="33"/>
        <v>0</v>
      </c>
      <c r="H45" s="651">
        <f t="shared" si="33"/>
        <v>0</v>
      </c>
      <c r="I45" s="651">
        <f t="shared" si="33"/>
        <v>0</v>
      </c>
      <c r="J45" s="651">
        <f t="shared" si="33"/>
        <v>0</v>
      </c>
      <c r="K45" s="651">
        <f t="shared" si="33"/>
        <v>0</v>
      </c>
      <c r="L45" s="651">
        <f t="shared" si="33"/>
        <v>0</v>
      </c>
      <c r="M45" s="651">
        <f t="shared" si="33"/>
        <v>0</v>
      </c>
      <c r="N45" s="651">
        <f t="shared" si="33"/>
        <v>0</v>
      </c>
      <c r="O45" s="652">
        <f t="shared" si="33"/>
        <v>0</v>
      </c>
      <c r="P45" s="652">
        <f t="shared" si="30"/>
        <v>0</v>
      </c>
      <c r="Q45" s="643" t="s">
        <v>629</v>
      </c>
      <c r="R45" s="8">
        <f>R43*R44*R36</f>
        <v>480</v>
      </c>
      <c r="S45" s="644" t="s">
        <v>620</v>
      </c>
    </row>
    <row r="46" spans="2:19" ht="16">
      <c r="B46" s="623" t="s">
        <v>630</v>
      </c>
      <c r="C46" s="650">
        <f>V6</f>
        <v>0.32500000000000001</v>
      </c>
      <c r="D46" s="651">
        <f t="shared" ref="D46:O46" si="34">D39*$C46</f>
        <v>598.41704998413275</v>
      </c>
      <c r="E46" s="651">
        <f t="shared" si="34"/>
        <v>549.23582424173958</v>
      </c>
      <c r="F46" s="651">
        <f t="shared" si="34"/>
        <v>487.61034564084343</v>
      </c>
      <c r="G46" s="651">
        <f t="shared" si="34"/>
        <v>487.39252989527677</v>
      </c>
      <c r="H46" s="651">
        <f t="shared" si="34"/>
        <v>581.76705129438074</v>
      </c>
      <c r="I46" s="651">
        <f t="shared" si="34"/>
        <v>651.25306697647886</v>
      </c>
      <c r="J46" s="651">
        <f t="shared" si="34"/>
        <v>699.99866122773881</v>
      </c>
      <c r="K46" s="651">
        <f t="shared" si="34"/>
        <v>740.44808690666343</v>
      </c>
      <c r="L46" s="651">
        <f t="shared" si="34"/>
        <v>785.04559687175572</v>
      </c>
      <c r="M46" s="651">
        <f t="shared" si="34"/>
        <v>817.19885397834503</v>
      </c>
      <c r="N46" s="651">
        <f t="shared" si="34"/>
        <v>720.76149821373781</v>
      </c>
      <c r="O46" s="652">
        <f t="shared" si="34"/>
        <v>499.88161386410161</v>
      </c>
      <c r="P46" s="652">
        <f t="shared" si="30"/>
        <v>7619.010179095194</v>
      </c>
      <c r="Q46" s="648" t="s">
        <v>631</v>
      </c>
      <c r="R46" s="649">
        <f>R42*R45</f>
        <v>480</v>
      </c>
      <c r="S46" s="654" t="s">
        <v>623</v>
      </c>
    </row>
    <row r="47" spans="2:19" ht="16">
      <c r="B47" s="656" t="s">
        <v>632</v>
      </c>
      <c r="C47" s="657"/>
      <c r="D47" s="658">
        <f t="shared" ref="D47:O47" si="35">D40*$C47</f>
        <v>0</v>
      </c>
      <c r="E47" s="658">
        <f t="shared" si="35"/>
        <v>0</v>
      </c>
      <c r="F47" s="658">
        <f t="shared" si="35"/>
        <v>0</v>
      </c>
      <c r="G47" s="658">
        <f t="shared" si="35"/>
        <v>0</v>
      </c>
      <c r="H47" s="658">
        <f t="shared" si="35"/>
        <v>0</v>
      </c>
      <c r="I47" s="658">
        <f t="shared" si="35"/>
        <v>0</v>
      </c>
      <c r="J47" s="658">
        <f t="shared" si="35"/>
        <v>0</v>
      </c>
      <c r="K47" s="658">
        <f t="shared" si="35"/>
        <v>0</v>
      </c>
      <c r="L47" s="658">
        <f t="shared" si="35"/>
        <v>0</v>
      </c>
      <c r="M47" s="658">
        <f t="shared" si="35"/>
        <v>0</v>
      </c>
      <c r="N47" s="658">
        <f t="shared" si="35"/>
        <v>0</v>
      </c>
      <c r="O47" s="657">
        <f t="shared" si="35"/>
        <v>0</v>
      </c>
      <c r="P47" s="657">
        <f t="shared" si="30"/>
        <v>0</v>
      </c>
    </row>
    <row r="48" spans="2:19" ht="16">
      <c r="B48" s="639" t="s">
        <v>381</v>
      </c>
      <c r="C48" s="640"/>
      <c r="D48" s="658">
        <f t="shared" ref="D48:P48" si="36">SUM(D42:D47)</f>
        <v>2678.417049984133</v>
      </c>
      <c r="E48" s="658">
        <f t="shared" si="36"/>
        <v>2629.2358242417395</v>
      </c>
      <c r="F48" s="658">
        <f t="shared" si="36"/>
        <v>2567.6103456408437</v>
      </c>
      <c r="G48" s="658">
        <f t="shared" si="36"/>
        <v>3803.3925298952768</v>
      </c>
      <c r="H48" s="658">
        <f t="shared" si="36"/>
        <v>3897.7670512943805</v>
      </c>
      <c r="I48" s="658">
        <f t="shared" si="36"/>
        <v>3967.2530669764787</v>
      </c>
      <c r="J48" s="658">
        <f t="shared" si="36"/>
        <v>4015.9986612277389</v>
      </c>
      <c r="K48" s="658">
        <f t="shared" si="36"/>
        <v>4056.4480869066633</v>
      </c>
      <c r="L48" s="658">
        <f t="shared" si="36"/>
        <v>4101.0455968717561</v>
      </c>
      <c r="M48" s="658">
        <f t="shared" si="36"/>
        <v>4133.1988539783451</v>
      </c>
      <c r="N48" s="658">
        <f t="shared" si="36"/>
        <v>4036.7614982137379</v>
      </c>
      <c r="O48" s="657">
        <f t="shared" si="36"/>
        <v>3815.8816138641014</v>
      </c>
      <c r="P48" s="660">
        <f t="shared" si="36"/>
        <v>43703.010179095196</v>
      </c>
    </row>
    <row r="49" spans="2:19" ht="16">
      <c r="B49" s="2050" t="s">
        <v>633</v>
      </c>
      <c r="C49" s="1999"/>
      <c r="D49" s="661"/>
      <c r="E49" s="661"/>
      <c r="F49" s="661"/>
      <c r="G49" s="661">
        <v>1</v>
      </c>
      <c r="H49" s="661">
        <v>1</v>
      </c>
      <c r="I49" s="661">
        <v>1</v>
      </c>
      <c r="J49" s="661">
        <v>1</v>
      </c>
      <c r="K49" s="661">
        <v>1</v>
      </c>
      <c r="L49" s="661">
        <v>1</v>
      </c>
      <c r="M49" s="661">
        <v>1</v>
      </c>
      <c r="N49" s="661">
        <v>1</v>
      </c>
      <c r="O49" s="662">
        <v>1</v>
      </c>
      <c r="P49" s="663"/>
    </row>
    <row r="50" spans="2:19" ht="13">
      <c r="D50" s="663"/>
      <c r="E50" s="663"/>
      <c r="F50" s="663"/>
      <c r="G50" s="663"/>
      <c r="H50" s="663"/>
      <c r="I50" s="663"/>
      <c r="J50" s="663"/>
      <c r="K50" s="663"/>
      <c r="L50" s="663"/>
      <c r="M50" s="663"/>
      <c r="N50" s="663"/>
      <c r="O50" s="663"/>
      <c r="P50" s="663"/>
    </row>
    <row r="51" spans="2:19" ht="18" thickTop="1" thickBot="1">
      <c r="B51" s="665"/>
      <c r="C51" s="3"/>
      <c r="D51" s="666">
        <f t="shared" ref="D51:O51" si="37">D54*D52</f>
        <v>89.267296900466363</v>
      </c>
      <c r="E51" s="667">
        <f t="shared" si="37"/>
        <v>53.123150563624471</v>
      </c>
      <c r="F51" s="667">
        <f t="shared" si="37"/>
        <v>105.22610344838648</v>
      </c>
      <c r="G51" s="667">
        <f t="shared" si="37"/>
        <v>70.029283527631151</v>
      </c>
      <c r="H51" s="667">
        <f t="shared" si="37"/>
        <v>84.239179768929887</v>
      </c>
      <c r="I51" s="667">
        <f t="shared" si="37"/>
        <v>99.760758740194632</v>
      </c>
      <c r="J51" s="667">
        <f t="shared" si="37"/>
        <v>110.83719068213009</v>
      </c>
      <c r="K51" s="667">
        <f t="shared" si="37"/>
        <v>110.83719068213009</v>
      </c>
      <c r="L51" s="667">
        <f t="shared" si="37"/>
        <v>105.22610344838648</v>
      </c>
      <c r="M51" s="667">
        <f t="shared" si="37"/>
        <v>128.54490753667153</v>
      </c>
      <c r="N51" s="667">
        <f t="shared" si="37"/>
        <v>346.94008207601661</v>
      </c>
      <c r="O51" s="668">
        <f t="shared" si="37"/>
        <v>377.76462623021843</v>
      </c>
      <c r="P51" s="669">
        <f t="shared" ref="P51:P52" si="38">SUM(D51:O51)</f>
        <v>1681.7958736047863</v>
      </c>
    </row>
    <row r="52" spans="2:19" ht="53" thickTop="1" thickBot="1">
      <c r="B52" s="1060" t="s">
        <v>637</v>
      </c>
      <c r="C52" s="828" t="s">
        <v>586</v>
      </c>
      <c r="D52" s="670">
        <f t="shared" ref="D52:O52" si="39">D27</f>
        <v>6.9860279441117765E-2</v>
      </c>
      <c r="E52" s="670">
        <f t="shared" si="39"/>
        <v>5.3892215568862277E-2</v>
      </c>
      <c r="F52" s="670">
        <f t="shared" si="39"/>
        <v>7.5848303393213579E-2</v>
      </c>
      <c r="G52" s="670">
        <f t="shared" si="39"/>
        <v>6.1876247504990017E-2</v>
      </c>
      <c r="H52" s="670">
        <f t="shared" si="39"/>
        <v>6.7864271457085831E-2</v>
      </c>
      <c r="I52" s="670">
        <f t="shared" si="39"/>
        <v>7.3852295409181631E-2</v>
      </c>
      <c r="J52" s="670">
        <f t="shared" si="39"/>
        <v>7.7844311377245512E-2</v>
      </c>
      <c r="K52" s="670">
        <f t="shared" si="39"/>
        <v>7.7844311377245512E-2</v>
      </c>
      <c r="L52" s="670">
        <f t="shared" si="39"/>
        <v>7.5848303393213579E-2</v>
      </c>
      <c r="M52" s="670">
        <f t="shared" si="39"/>
        <v>8.3832335329341312E-2</v>
      </c>
      <c r="N52" s="670">
        <f t="shared" si="39"/>
        <v>0.1377245508982036</v>
      </c>
      <c r="O52" s="670">
        <f t="shared" si="39"/>
        <v>0.1437125748502994</v>
      </c>
      <c r="P52" s="664">
        <f t="shared" si="38"/>
        <v>1</v>
      </c>
    </row>
    <row r="53" spans="2:19" ht="18" thickTop="1" thickBot="1">
      <c r="B53" s="639" t="s">
        <v>590</v>
      </c>
      <c r="C53" s="671"/>
      <c r="D53" s="672">
        <v>1</v>
      </c>
      <c r="E53" s="612">
        <v>2</v>
      </c>
      <c r="F53" s="612">
        <v>3</v>
      </c>
      <c r="G53" s="612">
        <v>4</v>
      </c>
      <c r="H53" s="612">
        <v>5</v>
      </c>
      <c r="I53" s="612">
        <v>6</v>
      </c>
      <c r="J53" s="612">
        <v>7</v>
      </c>
      <c r="K53" s="612">
        <v>8</v>
      </c>
      <c r="L53" s="612">
        <v>9</v>
      </c>
      <c r="M53" s="612">
        <v>10</v>
      </c>
      <c r="N53" s="612">
        <v>11</v>
      </c>
      <c r="O53" s="613">
        <v>12</v>
      </c>
      <c r="P53" s="614" t="s">
        <v>642</v>
      </c>
    </row>
    <row r="54" spans="2:19" ht="17" thickTop="1">
      <c r="B54" s="617" t="s">
        <v>592</v>
      </c>
      <c r="C54" s="618"/>
      <c r="D54" s="619">
        <f t="shared" ref="D54:O54" si="40">D52*$P$54</f>
        <v>1277.797592775247</v>
      </c>
      <c r="E54" s="619">
        <f t="shared" si="40"/>
        <v>985.72957156947632</v>
      </c>
      <c r="F54" s="619">
        <f t="shared" si="40"/>
        <v>1387.3231007274112</v>
      </c>
      <c r="G54" s="619">
        <f t="shared" si="40"/>
        <v>1131.7635821723616</v>
      </c>
      <c r="H54" s="619">
        <f t="shared" si="40"/>
        <v>1241.2890901245257</v>
      </c>
      <c r="I54" s="619">
        <f t="shared" si="40"/>
        <v>1350.8145980766897</v>
      </c>
      <c r="J54" s="619">
        <f t="shared" si="40"/>
        <v>1423.8316033781325</v>
      </c>
      <c r="K54" s="619">
        <f t="shared" si="40"/>
        <v>1423.8316033781325</v>
      </c>
      <c r="L54" s="619">
        <f t="shared" si="40"/>
        <v>1387.3231007274112</v>
      </c>
      <c r="M54" s="619">
        <f t="shared" si="40"/>
        <v>1533.3571113302962</v>
      </c>
      <c r="N54" s="619">
        <f t="shared" si="40"/>
        <v>2519.0866828997728</v>
      </c>
      <c r="O54" s="619">
        <f t="shared" si="40"/>
        <v>2628.6121908519367</v>
      </c>
      <c r="P54" s="673">
        <f>'MK Bases Model (Base Case)'!C16</f>
        <v>18290.759828011393</v>
      </c>
    </row>
    <row r="55" spans="2:19" ht="16">
      <c r="B55" s="617" t="s">
        <v>594</v>
      </c>
      <c r="C55" s="674"/>
      <c r="D55" s="675"/>
      <c r="E55" s="621"/>
      <c r="F55" s="621"/>
      <c r="G55" s="621"/>
      <c r="H55" s="621"/>
      <c r="I55" s="621"/>
      <c r="J55" s="621"/>
      <c r="K55" s="621"/>
      <c r="L55" s="621"/>
      <c r="M55" s="621"/>
      <c r="N55" s="621"/>
      <c r="O55" s="621"/>
      <c r="P55" s="624"/>
    </row>
    <row r="56" spans="2:19" ht="16">
      <c r="B56" s="623" t="s">
        <v>596</v>
      </c>
      <c r="C56" s="618"/>
      <c r="D56" s="619">
        <f t="shared" ref="D56:O56" si="41">$R$62</f>
        <v>1280</v>
      </c>
      <c r="E56" s="619">
        <f t="shared" si="41"/>
        <v>1280</v>
      </c>
      <c r="F56" s="619">
        <f t="shared" si="41"/>
        <v>1280</v>
      </c>
      <c r="G56" s="619">
        <f t="shared" si="41"/>
        <v>1280</v>
      </c>
      <c r="H56" s="619">
        <f t="shared" si="41"/>
        <v>1280</v>
      </c>
      <c r="I56" s="619">
        <f t="shared" si="41"/>
        <v>1280</v>
      </c>
      <c r="J56" s="619">
        <f t="shared" si="41"/>
        <v>1280</v>
      </c>
      <c r="K56" s="619">
        <f t="shared" si="41"/>
        <v>1280</v>
      </c>
      <c r="L56" s="619">
        <f t="shared" si="41"/>
        <v>1280</v>
      </c>
      <c r="M56" s="619">
        <f t="shared" si="41"/>
        <v>1280</v>
      </c>
      <c r="N56" s="619">
        <f t="shared" si="41"/>
        <v>1280</v>
      </c>
      <c r="O56" s="619">
        <f t="shared" si="41"/>
        <v>1280</v>
      </c>
      <c r="P56" s="675">
        <f>SUM(D56:O56)*X12</f>
        <v>14284.800000000001</v>
      </c>
      <c r="Q56" s="2051" t="s">
        <v>638</v>
      </c>
      <c r="R56" s="2052"/>
      <c r="S56" s="2053"/>
    </row>
    <row r="57" spans="2:19" ht="16">
      <c r="B57" s="617" t="s">
        <v>599</v>
      </c>
      <c r="C57" s="674"/>
      <c r="D57" s="676">
        <f t="shared" ref="D57:O57" si="42">0</f>
        <v>0</v>
      </c>
      <c r="E57" s="621">
        <f t="shared" si="42"/>
        <v>0</v>
      </c>
      <c r="F57" s="619">
        <f t="shared" si="42"/>
        <v>0</v>
      </c>
      <c r="G57" s="619">
        <f t="shared" si="42"/>
        <v>0</v>
      </c>
      <c r="H57" s="619">
        <f t="shared" si="42"/>
        <v>0</v>
      </c>
      <c r="I57" s="619">
        <f t="shared" si="42"/>
        <v>0</v>
      </c>
      <c r="J57" s="619">
        <f t="shared" si="42"/>
        <v>0</v>
      </c>
      <c r="K57" s="619">
        <f t="shared" si="42"/>
        <v>0</v>
      </c>
      <c r="L57" s="619">
        <f t="shared" si="42"/>
        <v>0</v>
      </c>
      <c r="M57" s="619">
        <f t="shared" si="42"/>
        <v>0</v>
      </c>
      <c r="N57" s="619">
        <f t="shared" si="42"/>
        <v>0</v>
      </c>
      <c r="O57" s="619">
        <f t="shared" si="42"/>
        <v>0</v>
      </c>
      <c r="P57" s="624">
        <f>SUM(D57:O57)*X12</f>
        <v>0</v>
      </c>
      <c r="Q57" s="629" t="s">
        <v>606</v>
      </c>
      <c r="R57" s="836">
        <f>V3</f>
        <v>4</v>
      </c>
      <c r="S57" s="630" t="s">
        <v>607</v>
      </c>
    </row>
    <row r="58" spans="2:19" ht="16">
      <c r="B58" s="617" t="s">
        <v>601</v>
      </c>
      <c r="C58" s="674"/>
      <c r="D58" s="676">
        <f t="shared" ref="D58:O58" si="43">$R$66*D74</f>
        <v>0</v>
      </c>
      <c r="E58" s="675">
        <f t="shared" si="43"/>
        <v>0</v>
      </c>
      <c r="F58" s="621">
        <f t="shared" si="43"/>
        <v>0</v>
      </c>
      <c r="G58" s="621">
        <f t="shared" si="43"/>
        <v>480</v>
      </c>
      <c r="H58" s="621">
        <f t="shared" si="43"/>
        <v>480</v>
      </c>
      <c r="I58" s="621">
        <f t="shared" si="43"/>
        <v>480</v>
      </c>
      <c r="J58" s="621">
        <f t="shared" si="43"/>
        <v>480</v>
      </c>
      <c r="K58" s="621">
        <f t="shared" si="43"/>
        <v>480</v>
      </c>
      <c r="L58" s="621">
        <f t="shared" si="43"/>
        <v>480</v>
      </c>
      <c r="M58" s="621">
        <f t="shared" si="43"/>
        <v>480</v>
      </c>
      <c r="N58" s="621">
        <f t="shared" si="43"/>
        <v>480</v>
      </c>
      <c r="O58" s="621">
        <f t="shared" si="43"/>
        <v>480</v>
      </c>
      <c r="P58" s="624">
        <f>SUM(D58:O58)*X12</f>
        <v>4017.6000000000004</v>
      </c>
      <c r="Q58" s="634" t="s">
        <v>610</v>
      </c>
      <c r="R58" s="635">
        <v>2</v>
      </c>
      <c r="S58" s="636" t="s">
        <v>611</v>
      </c>
    </row>
    <row r="59" spans="2:19" ht="16">
      <c r="B59" s="617" t="s">
        <v>602</v>
      </c>
      <c r="C59" s="674"/>
      <c r="D59" s="675">
        <f t="shared" ref="D59:O59" si="44">0</f>
        <v>0</v>
      </c>
      <c r="E59" s="621">
        <f t="shared" si="44"/>
        <v>0</v>
      </c>
      <c r="F59" s="621">
        <f t="shared" si="44"/>
        <v>0</v>
      </c>
      <c r="G59" s="621">
        <f t="shared" si="44"/>
        <v>0</v>
      </c>
      <c r="H59" s="621">
        <f t="shared" si="44"/>
        <v>0</v>
      </c>
      <c r="I59" s="621">
        <f t="shared" si="44"/>
        <v>0</v>
      </c>
      <c r="J59" s="621">
        <f t="shared" si="44"/>
        <v>0</v>
      </c>
      <c r="K59" s="621">
        <f t="shared" si="44"/>
        <v>0</v>
      </c>
      <c r="L59" s="621">
        <f t="shared" si="44"/>
        <v>0</v>
      </c>
      <c r="M59" s="621">
        <f t="shared" si="44"/>
        <v>0</v>
      </c>
      <c r="N59" s="621">
        <f t="shared" si="44"/>
        <v>0</v>
      </c>
      <c r="O59" s="621">
        <f t="shared" si="44"/>
        <v>0</v>
      </c>
      <c r="P59" s="624">
        <f>SUM(D59:O59)*X12</f>
        <v>0</v>
      </c>
      <c r="Q59" s="634" t="s">
        <v>614</v>
      </c>
      <c r="R59" s="677">
        <f t="shared" ref="R59:R60" si="45">R38</f>
        <v>8</v>
      </c>
      <c r="S59" s="636" t="s">
        <v>615</v>
      </c>
    </row>
    <row r="60" spans="2:19" ht="16">
      <c r="B60" s="623" t="s">
        <v>603</v>
      </c>
      <c r="C60" s="674"/>
      <c r="D60" s="675">
        <f t="shared" ref="D60:O60" si="46">SUM(D56:D59)-D54</f>
        <v>2.2024072247529602</v>
      </c>
      <c r="E60" s="621">
        <f t="shared" si="46"/>
        <v>294.27042843052368</v>
      </c>
      <c r="F60" s="621">
        <f t="shared" si="46"/>
        <v>-107.3231007274112</v>
      </c>
      <c r="G60" s="621">
        <f t="shared" si="46"/>
        <v>628.23641782763843</v>
      </c>
      <c r="H60" s="621">
        <f t="shared" si="46"/>
        <v>518.71090987547427</v>
      </c>
      <c r="I60" s="621">
        <f t="shared" si="46"/>
        <v>409.18540192331034</v>
      </c>
      <c r="J60" s="621">
        <f t="shared" si="46"/>
        <v>336.16839662186749</v>
      </c>
      <c r="K60" s="621">
        <f t="shared" si="46"/>
        <v>336.16839662186749</v>
      </c>
      <c r="L60" s="621">
        <f t="shared" si="46"/>
        <v>372.6768992725888</v>
      </c>
      <c r="M60" s="621">
        <f t="shared" si="46"/>
        <v>226.64288866970378</v>
      </c>
      <c r="N60" s="621">
        <f t="shared" si="46"/>
        <v>-759.08668289977277</v>
      </c>
      <c r="O60" s="621">
        <f t="shared" si="46"/>
        <v>-868.6121908519367</v>
      </c>
      <c r="P60" s="624">
        <f>SUM(D60:O60)*X12</f>
        <v>1291.9933599494041</v>
      </c>
      <c r="Q60" s="634" t="s">
        <v>617</v>
      </c>
      <c r="R60" s="14">
        <f t="shared" si="45"/>
        <v>20</v>
      </c>
      <c r="S60" s="636"/>
    </row>
    <row r="61" spans="2:19" ht="16">
      <c r="B61" s="617" t="s">
        <v>605</v>
      </c>
      <c r="C61" s="674"/>
      <c r="D61" s="675"/>
      <c r="E61" s="621"/>
      <c r="F61" s="621"/>
      <c r="G61" s="621"/>
      <c r="H61" s="621"/>
      <c r="I61" s="621"/>
      <c r="J61" s="621"/>
      <c r="K61" s="621"/>
      <c r="L61" s="621"/>
      <c r="M61" s="621"/>
      <c r="N61" s="621"/>
      <c r="O61" s="621"/>
      <c r="P61" s="624"/>
      <c r="Q61" s="643" t="s">
        <v>619</v>
      </c>
      <c r="R61" s="8">
        <f>R57*R59*R60</f>
        <v>640</v>
      </c>
      <c r="S61" s="644" t="s">
        <v>620</v>
      </c>
    </row>
    <row r="62" spans="2:19" ht="16">
      <c r="B62" s="617" t="s">
        <v>609</v>
      </c>
      <c r="C62" s="674"/>
      <c r="D62" s="676">
        <f t="shared" ref="D62:O62" si="47">C63</f>
        <v>1025.8492442345475</v>
      </c>
      <c r="E62" s="621">
        <f t="shared" si="47"/>
        <v>1028.0516514593005</v>
      </c>
      <c r="F62" s="621">
        <f t="shared" si="47"/>
        <v>1322.3220798898242</v>
      </c>
      <c r="G62" s="621">
        <f t="shared" si="47"/>
        <v>1214.998979162413</v>
      </c>
      <c r="H62" s="621">
        <f t="shared" si="47"/>
        <v>1843.2353969900514</v>
      </c>
      <c r="I62" s="621">
        <f t="shared" si="47"/>
        <v>2361.9463068655259</v>
      </c>
      <c r="J62" s="621">
        <f t="shared" si="47"/>
        <v>2771.1317087888365</v>
      </c>
      <c r="K62" s="621">
        <f t="shared" si="47"/>
        <v>3107.300105410704</v>
      </c>
      <c r="L62" s="621">
        <f t="shared" si="47"/>
        <v>3443.4685020325715</v>
      </c>
      <c r="M62" s="621">
        <f t="shared" si="47"/>
        <v>3816.1454013051602</v>
      </c>
      <c r="N62" s="621">
        <f t="shared" si="47"/>
        <v>4042.7882899748638</v>
      </c>
      <c r="O62" s="621">
        <f t="shared" si="47"/>
        <v>3283.701607075091</v>
      </c>
      <c r="P62" s="624"/>
      <c r="Q62" s="648" t="s">
        <v>622</v>
      </c>
      <c r="R62" s="649">
        <f>R61*R58</f>
        <v>1280</v>
      </c>
      <c r="S62" s="636" t="s">
        <v>623</v>
      </c>
    </row>
    <row r="63" spans="2:19" ht="16">
      <c r="B63" s="617" t="s">
        <v>613</v>
      </c>
      <c r="C63" s="619">
        <f>P38</f>
        <v>1025.8492442345475</v>
      </c>
      <c r="D63" s="675">
        <f t="shared" ref="D63:O63" si="48">MAX(D62+D60-C65,0)</f>
        <v>1028.0516514593005</v>
      </c>
      <c r="E63" s="621">
        <f t="shared" si="48"/>
        <v>1322.3220798898242</v>
      </c>
      <c r="F63" s="621">
        <f t="shared" si="48"/>
        <v>1214.998979162413</v>
      </c>
      <c r="G63" s="621">
        <f t="shared" si="48"/>
        <v>1843.2353969900514</v>
      </c>
      <c r="H63" s="621">
        <f t="shared" si="48"/>
        <v>2361.9463068655259</v>
      </c>
      <c r="I63" s="621">
        <f t="shared" si="48"/>
        <v>2771.1317087888365</v>
      </c>
      <c r="J63" s="621">
        <f t="shared" si="48"/>
        <v>3107.300105410704</v>
      </c>
      <c r="K63" s="621">
        <f t="shared" si="48"/>
        <v>3443.4685020325715</v>
      </c>
      <c r="L63" s="621">
        <f t="shared" si="48"/>
        <v>3816.1454013051602</v>
      </c>
      <c r="M63" s="621">
        <f t="shared" si="48"/>
        <v>4042.7882899748638</v>
      </c>
      <c r="N63" s="621">
        <f t="shared" si="48"/>
        <v>3283.701607075091</v>
      </c>
      <c r="O63" s="621">
        <f t="shared" si="48"/>
        <v>2415.0894162231543</v>
      </c>
      <c r="P63" s="624">
        <f>O63*X12</f>
        <v>2246.0331570875337</v>
      </c>
      <c r="Q63" s="14" t="s">
        <v>625</v>
      </c>
      <c r="R63" s="14">
        <f>MAX(D74:O74)</f>
        <v>1</v>
      </c>
      <c r="S63" s="653" t="s">
        <v>611</v>
      </c>
    </row>
    <row r="64" spans="2:19" ht="16">
      <c r="B64" s="617" t="s">
        <v>616</v>
      </c>
      <c r="C64" s="674"/>
      <c r="D64" s="675">
        <f t="shared" ref="D64:O64" si="49">(D62+D63)/2</f>
        <v>1026.9504478469239</v>
      </c>
      <c r="E64" s="621">
        <f t="shared" si="49"/>
        <v>1175.1868656745623</v>
      </c>
      <c r="F64" s="621">
        <f t="shared" si="49"/>
        <v>1268.6605295261186</v>
      </c>
      <c r="G64" s="621">
        <f t="shared" si="49"/>
        <v>1529.1171880762322</v>
      </c>
      <c r="H64" s="621">
        <f t="shared" si="49"/>
        <v>2102.5908519277887</v>
      </c>
      <c r="I64" s="621">
        <f t="shared" si="49"/>
        <v>2566.5390078271812</v>
      </c>
      <c r="J64" s="621">
        <f t="shared" si="49"/>
        <v>2939.2159070997704</v>
      </c>
      <c r="K64" s="621">
        <f t="shared" si="49"/>
        <v>3275.3843037216375</v>
      </c>
      <c r="L64" s="621">
        <f t="shared" si="49"/>
        <v>3629.8069516688656</v>
      </c>
      <c r="M64" s="621">
        <f t="shared" si="49"/>
        <v>3929.4668456400123</v>
      </c>
      <c r="N64" s="621">
        <f t="shared" si="49"/>
        <v>3663.2449485249772</v>
      </c>
      <c r="O64" s="621">
        <f t="shared" si="49"/>
        <v>2849.3955116491225</v>
      </c>
      <c r="P64" s="624">
        <f>AVERAGE(D64:O64)*X12</f>
        <v>2321.5558503366974</v>
      </c>
      <c r="Q64" s="634" t="s">
        <v>614</v>
      </c>
      <c r="R64" s="677">
        <f>R43</f>
        <v>6</v>
      </c>
      <c r="S64" s="636" t="s">
        <v>615</v>
      </c>
    </row>
    <row r="65" spans="2:19" ht="16">
      <c r="B65" s="639" t="s">
        <v>618</v>
      </c>
      <c r="C65" s="678"/>
      <c r="D65" s="679">
        <f t="shared" ref="D65:O65" si="50">MAX(C65-D60-D62,0)</f>
        <v>0</v>
      </c>
      <c r="E65" s="641">
        <f t="shared" si="50"/>
        <v>0</v>
      </c>
      <c r="F65" s="641">
        <f t="shared" si="50"/>
        <v>0</v>
      </c>
      <c r="G65" s="641">
        <f t="shared" si="50"/>
        <v>0</v>
      </c>
      <c r="H65" s="641">
        <f t="shared" si="50"/>
        <v>0</v>
      </c>
      <c r="I65" s="641">
        <f t="shared" si="50"/>
        <v>0</v>
      </c>
      <c r="J65" s="641">
        <f t="shared" si="50"/>
        <v>0</v>
      </c>
      <c r="K65" s="641">
        <f t="shared" si="50"/>
        <v>0</v>
      </c>
      <c r="L65" s="641">
        <f t="shared" si="50"/>
        <v>0</v>
      </c>
      <c r="M65" s="641">
        <f t="shared" si="50"/>
        <v>0</v>
      </c>
      <c r="N65" s="641">
        <f t="shared" si="50"/>
        <v>0</v>
      </c>
      <c r="O65" s="641">
        <f t="shared" si="50"/>
        <v>0</v>
      </c>
      <c r="P65" s="679">
        <f>SUM(D65:O65)</f>
        <v>0</v>
      </c>
      <c r="Q65" s="634" t="s">
        <v>617</v>
      </c>
      <c r="R65" s="14">
        <f>R60</f>
        <v>20</v>
      </c>
      <c r="S65" s="636"/>
    </row>
    <row r="66" spans="2:19" ht="16">
      <c r="B66" s="623" t="s">
        <v>636</v>
      </c>
      <c r="C66" s="674"/>
      <c r="D66" s="680"/>
      <c r="E66" s="646"/>
      <c r="F66" s="646"/>
      <c r="G66" s="646"/>
      <c r="H66" s="646"/>
      <c r="I66" s="646"/>
      <c r="J66" s="646"/>
      <c r="K66" s="646"/>
      <c r="L66" s="646"/>
      <c r="M66" s="646"/>
      <c r="N66" s="646"/>
      <c r="O66" s="647"/>
      <c r="P66" s="646"/>
      <c r="Q66" s="643" t="s">
        <v>629</v>
      </c>
      <c r="R66" s="8">
        <f>R64*R65*R57</f>
        <v>480</v>
      </c>
      <c r="S66" s="644" t="s">
        <v>620</v>
      </c>
    </row>
    <row r="67" spans="2:19" ht="16">
      <c r="B67" s="623" t="s">
        <v>624</v>
      </c>
      <c r="C67" s="650">
        <f>$V$4/R57</f>
        <v>3.25</v>
      </c>
      <c r="D67" s="681">
        <f t="shared" ref="D67:O67" si="51">D56*$C67</f>
        <v>4160</v>
      </c>
      <c r="E67" s="651">
        <f t="shared" si="51"/>
        <v>4160</v>
      </c>
      <c r="F67" s="651">
        <f t="shared" si="51"/>
        <v>4160</v>
      </c>
      <c r="G67" s="651">
        <f t="shared" si="51"/>
        <v>4160</v>
      </c>
      <c r="H67" s="651">
        <f t="shared" si="51"/>
        <v>4160</v>
      </c>
      <c r="I67" s="651">
        <f t="shared" si="51"/>
        <v>4160</v>
      </c>
      <c r="J67" s="651">
        <f t="shared" si="51"/>
        <v>4160</v>
      </c>
      <c r="K67" s="651">
        <f t="shared" si="51"/>
        <v>4160</v>
      </c>
      <c r="L67" s="651">
        <f t="shared" si="51"/>
        <v>4160</v>
      </c>
      <c r="M67" s="651">
        <f t="shared" si="51"/>
        <v>4160</v>
      </c>
      <c r="N67" s="651">
        <f t="shared" si="51"/>
        <v>4160</v>
      </c>
      <c r="O67" s="652">
        <f t="shared" si="51"/>
        <v>4160</v>
      </c>
      <c r="P67" s="652">
        <f t="shared" ref="P67:P72" si="52">SUM(D67:O67)</f>
        <v>49920</v>
      </c>
      <c r="Q67" s="648" t="s">
        <v>631</v>
      </c>
      <c r="R67" s="649">
        <f>R63*R66</f>
        <v>480</v>
      </c>
      <c r="S67" s="654" t="s">
        <v>623</v>
      </c>
    </row>
    <row r="68" spans="2:19" ht="16">
      <c r="B68" s="623" t="s">
        <v>626</v>
      </c>
      <c r="C68" s="650">
        <f>C67*1.5</f>
        <v>4.875</v>
      </c>
      <c r="D68" s="681">
        <f t="shared" ref="D68:O68" si="53">D57*$C68</f>
        <v>0</v>
      </c>
      <c r="E68" s="651">
        <f t="shared" si="53"/>
        <v>0</v>
      </c>
      <c r="F68" s="651">
        <f t="shared" si="53"/>
        <v>0</v>
      </c>
      <c r="G68" s="651">
        <f t="shared" si="53"/>
        <v>0</v>
      </c>
      <c r="H68" s="651">
        <f t="shared" si="53"/>
        <v>0</v>
      </c>
      <c r="I68" s="651">
        <f t="shared" si="53"/>
        <v>0</v>
      </c>
      <c r="J68" s="651">
        <f t="shared" si="53"/>
        <v>0</v>
      </c>
      <c r="K68" s="651">
        <f t="shared" si="53"/>
        <v>0</v>
      </c>
      <c r="L68" s="651">
        <f t="shared" si="53"/>
        <v>0</v>
      </c>
      <c r="M68" s="651">
        <f t="shared" si="53"/>
        <v>0</v>
      </c>
      <c r="N68" s="651">
        <f t="shared" si="53"/>
        <v>0</v>
      </c>
      <c r="O68" s="652">
        <f t="shared" si="53"/>
        <v>0</v>
      </c>
      <c r="P68" s="652">
        <f t="shared" si="52"/>
        <v>0</v>
      </c>
    </row>
    <row r="69" spans="2:19" ht="16">
      <c r="B69" s="623" t="s">
        <v>627</v>
      </c>
      <c r="C69" s="650">
        <f>$V$7/R57</f>
        <v>2.5750000000000002</v>
      </c>
      <c r="D69" s="681">
        <f t="shared" ref="D69:O69" si="54">D58*$C69</f>
        <v>0</v>
      </c>
      <c r="E69" s="651">
        <f t="shared" si="54"/>
        <v>0</v>
      </c>
      <c r="F69" s="651">
        <f t="shared" si="54"/>
        <v>0</v>
      </c>
      <c r="G69" s="651">
        <f t="shared" si="54"/>
        <v>1236</v>
      </c>
      <c r="H69" s="651">
        <f t="shared" si="54"/>
        <v>1236</v>
      </c>
      <c r="I69" s="651">
        <f t="shared" si="54"/>
        <v>1236</v>
      </c>
      <c r="J69" s="651">
        <f t="shared" si="54"/>
        <v>1236</v>
      </c>
      <c r="K69" s="651">
        <f t="shared" si="54"/>
        <v>1236</v>
      </c>
      <c r="L69" s="651">
        <f t="shared" si="54"/>
        <v>1236</v>
      </c>
      <c r="M69" s="651">
        <f t="shared" si="54"/>
        <v>1236</v>
      </c>
      <c r="N69" s="651">
        <f t="shared" si="54"/>
        <v>1236</v>
      </c>
      <c r="O69" s="652">
        <f t="shared" si="54"/>
        <v>1236</v>
      </c>
      <c r="P69" s="652">
        <f t="shared" si="52"/>
        <v>11124</v>
      </c>
    </row>
    <row r="70" spans="2:19" ht="16">
      <c r="B70" s="623" t="s">
        <v>628</v>
      </c>
      <c r="C70" s="651"/>
      <c r="D70" s="681">
        <f t="shared" ref="D70:O70" si="55">D59*$C70</f>
        <v>0</v>
      </c>
      <c r="E70" s="651">
        <f t="shared" si="55"/>
        <v>0</v>
      </c>
      <c r="F70" s="651">
        <f t="shared" si="55"/>
        <v>0</v>
      </c>
      <c r="G70" s="651">
        <f t="shared" si="55"/>
        <v>0</v>
      </c>
      <c r="H70" s="651">
        <f t="shared" si="55"/>
        <v>0</v>
      </c>
      <c r="I70" s="651">
        <f t="shared" si="55"/>
        <v>0</v>
      </c>
      <c r="J70" s="651">
        <f t="shared" si="55"/>
        <v>0</v>
      </c>
      <c r="K70" s="651">
        <f t="shared" si="55"/>
        <v>0</v>
      </c>
      <c r="L70" s="651">
        <f t="shared" si="55"/>
        <v>0</v>
      </c>
      <c r="M70" s="651">
        <f t="shared" si="55"/>
        <v>0</v>
      </c>
      <c r="N70" s="651">
        <f t="shared" si="55"/>
        <v>0</v>
      </c>
      <c r="O70" s="652">
        <f t="shared" si="55"/>
        <v>0</v>
      </c>
      <c r="P70" s="652">
        <f t="shared" si="52"/>
        <v>0</v>
      </c>
      <c r="Q70" s="3"/>
      <c r="R70" s="3"/>
      <c r="S70" s="3"/>
    </row>
    <row r="71" spans="2:19" ht="16">
      <c r="B71" s="623" t="s">
        <v>630</v>
      </c>
      <c r="C71" s="682">
        <f>C46</f>
        <v>0.32500000000000001</v>
      </c>
      <c r="D71" s="681">
        <f t="shared" ref="D71:O71" si="56">D64*$C71</f>
        <v>333.75889555025026</v>
      </c>
      <c r="E71" s="651">
        <f t="shared" si="56"/>
        <v>381.93573134423275</v>
      </c>
      <c r="F71" s="651">
        <f t="shared" si="56"/>
        <v>412.31467209598856</v>
      </c>
      <c r="G71" s="651">
        <f t="shared" si="56"/>
        <v>496.96308612477549</v>
      </c>
      <c r="H71" s="651">
        <f t="shared" si="56"/>
        <v>683.34202687653135</v>
      </c>
      <c r="I71" s="651">
        <f t="shared" si="56"/>
        <v>834.12517754383396</v>
      </c>
      <c r="J71" s="651">
        <f t="shared" si="56"/>
        <v>955.24516980742544</v>
      </c>
      <c r="K71" s="651">
        <f t="shared" si="56"/>
        <v>1064.4998987095323</v>
      </c>
      <c r="L71" s="651">
        <f t="shared" si="56"/>
        <v>1179.6872592923814</v>
      </c>
      <c r="M71" s="651">
        <f t="shared" si="56"/>
        <v>1277.0767248330039</v>
      </c>
      <c r="N71" s="651">
        <f t="shared" si="56"/>
        <v>1190.5546082706176</v>
      </c>
      <c r="O71" s="652">
        <f t="shared" si="56"/>
        <v>926.0535412859648</v>
      </c>
      <c r="P71" s="652">
        <f t="shared" si="52"/>
        <v>9735.5567917345379</v>
      </c>
      <c r="Q71" s="3"/>
      <c r="R71" s="3"/>
      <c r="S71" s="3"/>
    </row>
    <row r="72" spans="2:19" ht="16">
      <c r="B72" s="623" t="s">
        <v>632</v>
      </c>
      <c r="C72" s="651"/>
      <c r="D72" s="681">
        <f t="shared" ref="D72:O72" si="57">D65*$C72</f>
        <v>0</v>
      </c>
      <c r="E72" s="651">
        <f t="shared" si="57"/>
        <v>0</v>
      </c>
      <c r="F72" s="651">
        <f t="shared" si="57"/>
        <v>0</v>
      </c>
      <c r="G72" s="651">
        <f t="shared" si="57"/>
        <v>0</v>
      </c>
      <c r="H72" s="651">
        <f t="shared" si="57"/>
        <v>0</v>
      </c>
      <c r="I72" s="651">
        <f t="shared" si="57"/>
        <v>0</v>
      </c>
      <c r="J72" s="651">
        <f t="shared" si="57"/>
        <v>0</v>
      </c>
      <c r="K72" s="651">
        <f t="shared" si="57"/>
        <v>0</v>
      </c>
      <c r="L72" s="651">
        <f t="shared" si="57"/>
        <v>0</v>
      </c>
      <c r="M72" s="651">
        <f t="shared" si="57"/>
        <v>0</v>
      </c>
      <c r="N72" s="651">
        <f t="shared" si="57"/>
        <v>0</v>
      </c>
      <c r="O72" s="652">
        <f t="shared" si="57"/>
        <v>0</v>
      </c>
      <c r="P72" s="652">
        <f t="shared" si="52"/>
        <v>0</v>
      </c>
      <c r="Q72" s="3"/>
      <c r="R72" s="3"/>
      <c r="S72" s="3"/>
    </row>
    <row r="73" spans="2:19" ht="16">
      <c r="B73" s="610" t="s">
        <v>381</v>
      </c>
      <c r="C73" s="671"/>
      <c r="D73" s="683">
        <f t="shared" ref="D73:P73" si="58">SUM(D67:D72)</f>
        <v>4493.7588955502506</v>
      </c>
      <c r="E73" s="684">
        <f t="shared" si="58"/>
        <v>4541.9357313442324</v>
      </c>
      <c r="F73" s="684">
        <f t="shared" si="58"/>
        <v>4572.3146720959885</v>
      </c>
      <c r="G73" s="684">
        <f t="shared" si="58"/>
        <v>5892.9630861247751</v>
      </c>
      <c r="H73" s="684">
        <f t="shared" si="58"/>
        <v>6079.3420268765312</v>
      </c>
      <c r="I73" s="684">
        <f t="shared" si="58"/>
        <v>6230.1251775438341</v>
      </c>
      <c r="J73" s="684">
        <f t="shared" si="58"/>
        <v>6351.2451698074256</v>
      </c>
      <c r="K73" s="684">
        <f t="shared" si="58"/>
        <v>6460.4998987095323</v>
      </c>
      <c r="L73" s="684">
        <f t="shared" si="58"/>
        <v>6575.687259292381</v>
      </c>
      <c r="M73" s="684">
        <f t="shared" si="58"/>
        <v>6673.0767248330039</v>
      </c>
      <c r="N73" s="684">
        <f t="shared" si="58"/>
        <v>6586.5546082706178</v>
      </c>
      <c r="O73" s="685">
        <f t="shared" si="58"/>
        <v>6322.0535412859645</v>
      </c>
      <c r="P73" s="686">
        <f t="shared" si="58"/>
        <v>70779.556791734532</v>
      </c>
      <c r="Q73" s="3"/>
      <c r="R73" s="3"/>
      <c r="S73" s="3"/>
    </row>
    <row r="74" spans="2:19" ht="16">
      <c r="B74" s="2050" t="s">
        <v>633</v>
      </c>
      <c r="C74" s="1999"/>
      <c r="D74" s="687"/>
      <c r="E74" s="687"/>
      <c r="F74" s="687"/>
      <c r="G74" s="661">
        <v>1</v>
      </c>
      <c r="H74" s="661">
        <v>1</v>
      </c>
      <c r="I74" s="661">
        <v>1</v>
      </c>
      <c r="J74" s="661">
        <v>1</v>
      </c>
      <c r="K74" s="661">
        <v>1</v>
      </c>
      <c r="L74" s="661">
        <v>1</v>
      </c>
      <c r="M74" s="661">
        <v>1</v>
      </c>
      <c r="N74" s="661">
        <v>1</v>
      </c>
      <c r="O74" s="662">
        <v>1</v>
      </c>
      <c r="P74" s="3"/>
      <c r="Q74" s="3"/>
      <c r="R74" s="3"/>
      <c r="S74" s="3"/>
    </row>
    <row r="75" spans="2:19" ht="16">
      <c r="Q75" s="3"/>
      <c r="R75" s="3"/>
      <c r="S75" s="3"/>
    </row>
    <row r="76" spans="2:19" ht="16">
      <c r="Q76" s="3"/>
      <c r="R76" s="3"/>
      <c r="S76" s="3"/>
    </row>
    <row r="77" spans="2:19" ht="18" thickTop="1" thickBot="1">
      <c r="B77" s="665"/>
      <c r="C77" s="3"/>
      <c r="D77" s="666">
        <f t="shared" ref="D77:O77" si="59">D80*D78</f>
        <v>215.16063949670431</v>
      </c>
      <c r="E77" s="667">
        <f t="shared" si="59"/>
        <v>128.04253566783467</v>
      </c>
      <c r="F77" s="667">
        <f t="shared" si="59"/>
        <v>253.62609259856413</v>
      </c>
      <c r="G77" s="667">
        <f t="shared" si="59"/>
        <v>168.79132616843495</v>
      </c>
      <c r="H77" s="667">
        <f t="shared" si="59"/>
        <v>203.04138714954303</v>
      </c>
      <c r="I77" s="667">
        <f t="shared" si="59"/>
        <v>240.45299222121483</v>
      </c>
      <c r="J77" s="667">
        <f t="shared" si="59"/>
        <v>267.15047565264268</v>
      </c>
      <c r="K77" s="667">
        <f t="shared" si="59"/>
        <v>267.15047565264268</v>
      </c>
      <c r="L77" s="667">
        <f t="shared" si="59"/>
        <v>253.62609259856413</v>
      </c>
      <c r="M77" s="667">
        <f t="shared" si="59"/>
        <v>309.83132087525416</v>
      </c>
      <c r="N77" s="667">
        <f t="shared" si="59"/>
        <v>836.22841195412991</v>
      </c>
      <c r="O77" s="667">
        <f t="shared" si="59"/>
        <v>910.52469808237959</v>
      </c>
      <c r="P77" s="669">
        <f t="shared" ref="P77:P78" si="60">SUM(D77:O77)</f>
        <v>4053.6264481179087</v>
      </c>
      <c r="Q77" s="3"/>
      <c r="R77" s="3"/>
      <c r="S77" s="3"/>
    </row>
    <row r="78" spans="2:19" ht="53" thickTop="1" thickBot="1">
      <c r="B78" s="1060" t="s">
        <v>639</v>
      </c>
      <c r="C78" s="828" t="s">
        <v>586</v>
      </c>
      <c r="D78" s="670">
        <f t="shared" ref="D78:O78" si="61">D27</f>
        <v>6.9860279441117765E-2</v>
      </c>
      <c r="E78" s="670">
        <f t="shared" si="61"/>
        <v>5.3892215568862277E-2</v>
      </c>
      <c r="F78" s="670">
        <f t="shared" si="61"/>
        <v>7.5848303393213579E-2</v>
      </c>
      <c r="G78" s="670">
        <f t="shared" si="61"/>
        <v>6.1876247504990017E-2</v>
      </c>
      <c r="H78" s="670">
        <f t="shared" si="61"/>
        <v>6.7864271457085831E-2</v>
      </c>
      <c r="I78" s="670">
        <f t="shared" si="61"/>
        <v>7.3852295409181631E-2</v>
      </c>
      <c r="J78" s="670">
        <f t="shared" si="61"/>
        <v>7.7844311377245512E-2</v>
      </c>
      <c r="K78" s="670">
        <f t="shared" si="61"/>
        <v>7.7844311377245512E-2</v>
      </c>
      <c r="L78" s="670">
        <f t="shared" si="61"/>
        <v>7.5848303393213579E-2</v>
      </c>
      <c r="M78" s="670">
        <f t="shared" si="61"/>
        <v>8.3832335329341312E-2</v>
      </c>
      <c r="N78" s="670">
        <f t="shared" si="61"/>
        <v>0.1377245508982036</v>
      </c>
      <c r="O78" s="670">
        <f t="shared" si="61"/>
        <v>0.1437125748502994</v>
      </c>
      <c r="P78" s="664">
        <f t="shared" si="60"/>
        <v>1</v>
      </c>
      <c r="Q78" s="3"/>
      <c r="R78" s="3"/>
      <c r="S78" s="3"/>
    </row>
    <row r="79" spans="2:19" ht="18" thickTop="1" thickBot="1">
      <c r="B79" s="639" t="s">
        <v>590</v>
      </c>
      <c r="C79" s="611"/>
      <c r="D79" s="612">
        <v>1</v>
      </c>
      <c r="E79" s="612">
        <v>2</v>
      </c>
      <c r="F79" s="612">
        <v>3</v>
      </c>
      <c r="G79" s="612">
        <v>4</v>
      </c>
      <c r="H79" s="612">
        <v>5</v>
      </c>
      <c r="I79" s="612">
        <v>6</v>
      </c>
      <c r="J79" s="612">
        <v>7</v>
      </c>
      <c r="K79" s="612">
        <v>8</v>
      </c>
      <c r="L79" s="612">
        <v>9</v>
      </c>
      <c r="M79" s="612">
        <v>10</v>
      </c>
      <c r="N79" s="612">
        <v>11</v>
      </c>
      <c r="O79" s="612">
        <v>12</v>
      </c>
      <c r="P79" s="688" t="s">
        <v>847</v>
      </c>
      <c r="Q79" s="3"/>
      <c r="R79" s="3"/>
      <c r="S79" s="3"/>
    </row>
    <row r="80" spans="2:19" ht="17" thickTop="1">
      <c r="B80" s="689" t="s">
        <v>592</v>
      </c>
      <c r="C80" s="618"/>
      <c r="D80" s="619">
        <f t="shared" ref="D80:O80" si="62">D78*$P$80</f>
        <v>3079.8708682242532</v>
      </c>
      <c r="E80" s="619">
        <f t="shared" si="62"/>
        <v>2375.9003840587097</v>
      </c>
      <c r="F80" s="619">
        <f t="shared" si="62"/>
        <v>3343.8597997863321</v>
      </c>
      <c r="G80" s="619">
        <f t="shared" si="62"/>
        <v>2727.8856261414812</v>
      </c>
      <c r="H80" s="619">
        <f t="shared" si="62"/>
        <v>2991.8745577035602</v>
      </c>
      <c r="I80" s="619">
        <f t="shared" si="62"/>
        <v>3255.8634892656387</v>
      </c>
      <c r="J80" s="619">
        <f t="shared" si="62"/>
        <v>3431.8561103070251</v>
      </c>
      <c r="K80" s="619">
        <f t="shared" si="62"/>
        <v>3431.8561103070251</v>
      </c>
      <c r="L80" s="619">
        <f t="shared" si="62"/>
        <v>3343.8597997863321</v>
      </c>
      <c r="M80" s="619">
        <f t="shared" si="62"/>
        <v>3695.8450418691036</v>
      </c>
      <c r="N80" s="619">
        <f t="shared" si="62"/>
        <v>6071.7454259278129</v>
      </c>
      <c r="O80" s="619">
        <f t="shared" si="62"/>
        <v>6335.7343574898914</v>
      </c>
      <c r="P80" s="624">
        <f>'MK Bases Model (Base Case)'!D16</f>
        <v>44086.151570867165</v>
      </c>
      <c r="Q80" s="3"/>
      <c r="R80" s="3"/>
      <c r="S80" s="3"/>
    </row>
    <row r="81" spans="2:19" ht="16">
      <c r="B81" s="689" t="s">
        <v>594</v>
      </c>
      <c r="C81" s="618"/>
      <c r="D81" s="621"/>
      <c r="E81" s="621"/>
      <c r="F81" s="621"/>
      <c r="G81" s="621"/>
      <c r="H81" s="621"/>
      <c r="I81" s="621"/>
      <c r="J81" s="621"/>
      <c r="K81" s="621"/>
      <c r="L81" s="621"/>
      <c r="M81" s="621"/>
      <c r="N81" s="621"/>
      <c r="O81" s="621"/>
      <c r="P81" s="624"/>
      <c r="Q81" s="3"/>
      <c r="R81" s="3"/>
      <c r="S81" s="3"/>
    </row>
    <row r="82" spans="2:19" ht="16">
      <c r="B82" s="623" t="s">
        <v>596</v>
      </c>
      <c r="C82" s="618"/>
      <c r="D82" s="619">
        <f t="shared" ref="D82:O82" si="63">$R$90</f>
        <v>3200</v>
      </c>
      <c r="E82" s="619">
        <f t="shared" si="63"/>
        <v>3200</v>
      </c>
      <c r="F82" s="619">
        <f t="shared" si="63"/>
        <v>3200</v>
      </c>
      <c r="G82" s="619">
        <f t="shared" si="63"/>
        <v>3200</v>
      </c>
      <c r="H82" s="619">
        <f t="shared" si="63"/>
        <v>3200</v>
      </c>
      <c r="I82" s="619">
        <f t="shared" si="63"/>
        <v>3200</v>
      </c>
      <c r="J82" s="619">
        <f t="shared" si="63"/>
        <v>3200</v>
      </c>
      <c r="K82" s="619">
        <f t="shared" si="63"/>
        <v>3200</v>
      </c>
      <c r="L82" s="619">
        <f t="shared" si="63"/>
        <v>3200</v>
      </c>
      <c r="M82" s="619">
        <f t="shared" si="63"/>
        <v>3200</v>
      </c>
      <c r="N82" s="619">
        <f t="shared" si="63"/>
        <v>3200</v>
      </c>
      <c r="O82" s="619">
        <f t="shared" si="63"/>
        <v>3200</v>
      </c>
      <c r="P82" s="624">
        <f>SUM(D82:O82)*Y12</f>
        <v>36864</v>
      </c>
      <c r="Q82" s="3"/>
      <c r="R82" s="3"/>
      <c r="S82" s="3"/>
    </row>
    <row r="83" spans="2:19" ht="16">
      <c r="B83" s="617" t="s">
        <v>599</v>
      </c>
      <c r="C83" s="618"/>
      <c r="D83" s="619">
        <f t="shared" ref="D83:O83" si="64">0</f>
        <v>0</v>
      </c>
      <c r="E83" s="619">
        <f t="shared" si="64"/>
        <v>0</v>
      </c>
      <c r="F83" s="619">
        <f t="shared" si="64"/>
        <v>0</v>
      </c>
      <c r="G83" s="619">
        <f t="shared" si="64"/>
        <v>0</v>
      </c>
      <c r="H83" s="619">
        <f t="shared" si="64"/>
        <v>0</v>
      </c>
      <c r="I83" s="619">
        <f t="shared" si="64"/>
        <v>0</v>
      </c>
      <c r="J83" s="619">
        <f t="shared" si="64"/>
        <v>0</v>
      </c>
      <c r="K83" s="619">
        <f t="shared" si="64"/>
        <v>0</v>
      </c>
      <c r="L83" s="619">
        <f t="shared" si="64"/>
        <v>0</v>
      </c>
      <c r="M83" s="619">
        <f t="shared" si="64"/>
        <v>0</v>
      </c>
      <c r="N83" s="619">
        <f t="shared" si="64"/>
        <v>0</v>
      </c>
      <c r="O83" s="619">
        <f t="shared" si="64"/>
        <v>0</v>
      </c>
      <c r="P83" s="624">
        <f>SUM(D83:O83)*Y12</f>
        <v>0</v>
      </c>
      <c r="Q83" s="3"/>
      <c r="R83" s="3"/>
      <c r="S83" s="3"/>
    </row>
    <row r="84" spans="2:19" ht="16">
      <c r="B84" s="617" t="s">
        <v>601</v>
      </c>
      <c r="C84" s="618"/>
      <c r="D84" s="619">
        <f t="shared" ref="D84:O84" si="65">$R$94*D100</f>
        <v>480</v>
      </c>
      <c r="E84" s="619">
        <f t="shared" si="65"/>
        <v>480</v>
      </c>
      <c r="F84" s="619">
        <f t="shared" si="65"/>
        <v>480</v>
      </c>
      <c r="G84" s="619">
        <f t="shared" si="65"/>
        <v>480</v>
      </c>
      <c r="H84" s="619">
        <f t="shared" si="65"/>
        <v>480</v>
      </c>
      <c r="I84" s="619">
        <f t="shared" si="65"/>
        <v>480</v>
      </c>
      <c r="J84" s="619">
        <f t="shared" si="65"/>
        <v>480</v>
      </c>
      <c r="K84" s="619">
        <f t="shared" si="65"/>
        <v>480</v>
      </c>
      <c r="L84" s="619">
        <f t="shared" si="65"/>
        <v>480</v>
      </c>
      <c r="M84" s="619">
        <f t="shared" si="65"/>
        <v>480</v>
      </c>
      <c r="N84" s="619">
        <f t="shared" si="65"/>
        <v>480</v>
      </c>
      <c r="O84" s="619">
        <f t="shared" si="65"/>
        <v>480</v>
      </c>
      <c r="P84" s="675">
        <f>SUM(D84:O84)*Y12</f>
        <v>5529.5999999999995</v>
      </c>
      <c r="Q84" s="2051" t="s">
        <v>640</v>
      </c>
      <c r="R84" s="2052"/>
      <c r="S84" s="2053"/>
    </row>
    <row r="85" spans="2:19" ht="16">
      <c r="B85" s="617" t="s">
        <v>602</v>
      </c>
      <c r="C85" s="618"/>
      <c r="D85" s="621">
        <f t="shared" ref="D85:O85" si="66">0</f>
        <v>0</v>
      </c>
      <c r="E85" s="621">
        <f t="shared" si="66"/>
        <v>0</v>
      </c>
      <c r="F85" s="621">
        <f t="shared" si="66"/>
        <v>0</v>
      </c>
      <c r="G85" s="621">
        <f t="shared" si="66"/>
        <v>0</v>
      </c>
      <c r="H85" s="621">
        <f t="shared" si="66"/>
        <v>0</v>
      </c>
      <c r="I85" s="621">
        <f t="shared" si="66"/>
        <v>0</v>
      </c>
      <c r="J85" s="621">
        <f t="shared" si="66"/>
        <v>0</v>
      </c>
      <c r="K85" s="621">
        <f t="shared" si="66"/>
        <v>0</v>
      </c>
      <c r="L85" s="621">
        <f t="shared" si="66"/>
        <v>0</v>
      </c>
      <c r="M85" s="621">
        <f t="shared" si="66"/>
        <v>0</v>
      </c>
      <c r="N85" s="621">
        <f t="shared" si="66"/>
        <v>0</v>
      </c>
      <c r="O85" s="621">
        <f t="shared" si="66"/>
        <v>0</v>
      </c>
      <c r="P85" s="624">
        <f>SUM(D85:O85)*Y12</f>
        <v>0</v>
      </c>
      <c r="Q85" s="629" t="s">
        <v>606</v>
      </c>
      <c r="R85" s="836">
        <f>V3</f>
        <v>4</v>
      </c>
      <c r="S85" s="630" t="s">
        <v>607</v>
      </c>
    </row>
    <row r="86" spans="2:19" ht="16">
      <c r="B86" s="690" t="s">
        <v>603</v>
      </c>
      <c r="C86" s="618"/>
      <c r="D86" s="621">
        <f t="shared" ref="D86:O86" si="67">SUM(D82:D85)-D80</f>
        <v>600.12913177574683</v>
      </c>
      <c r="E86" s="621">
        <f t="shared" si="67"/>
        <v>1304.0996159412903</v>
      </c>
      <c r="F86" s="621">
        <f t="shared" si="67"/>
        <v>336.14020021366787</v>
      </c>
      <c r="G86" s="621">
        <f t="shared" si="67"/>
        <v>952.11437385851877</v>
      </c>
      <c r="H86" s="621">
        <f t="shared" si="67"/>
        <v>688.12544229643981</v>
      </c>
      <c r="I86" s="621">
        <f t="shared" si="67"/>
        <v>424.13651073436131</v>
      </c>
      <c r="J86" s="621">
        <f t="shared" si="67"/>
        <v>248.14388969297488</v>
      </c>
      <c r="K86" s="621">
        <f t="shared" si="67"/>
        <v>248.14388969297488</v>
      </c>
      <c r="L86" s="621">
        <f t="shared" si="67"/>
        <v>336.14020021366787</v>
      </c>
      <c r="M86" s="621">
        <f t="shared" si="67"/>
        <v>-15.845041869103625</v>
      </c>
      <c r="N86" s="621">
        <f t="shared" si="67"/>
        <v>-2391.7454259278129</v>
      </c>
      <c r="O86" s="621">
        <f t="shared" si="67"/>
        <v>-2655.7343574898914</v>
      </c>
      <c r="P86" s="624">
        <f>SUM(D86:O86)*Y12</f>
        <v>70.894491967520736</v>
      </c>
      <c r="Q86" s="14" t="s">
        <v>610</v>
      </c>
      <c r="R86" s="635">
        <v>5</v>
      </c>
      <c r="S86" s="636" t="s">
        <v>611</v>
      </c>
    </row>
    <row r="87" spans="2:19" ht="16">
      <c r="B87" s="689" t="s">
        <v>605</v>
      </c>
      <c r="C87" s="618"/>
      <c r="D87" s="621"/>
      <c r="E87" s="621"/>
      <c r="F87" s="621"/>
      <c r="G87" s="621"/>
      <c r="H87" s="621"/>
      <c r="I87" s="621"/>
      <c r="J87" s="621"/>
      <c r="K87" s="621"/>
      <c r="L87" s="621"/>
      <c r="M87" s="621"/>
      <c r="N87" s="621"/>
      <c r="O87" s="621"/>
      <c r="P87" s="624"/>
      <c r="Q87" s="14" t="s">
        <v>614</v>
      </c>
      <c r="R87" s="677">
        <f t="shared" ref="R87:R88" si="68">R38</f>
        <v>8</v>
      </c>
      <c r="S87" s="636" t="s">
        <v>615</v>
      </c>
    </row>
    <row r="88" spans="2:19" ht="16">
      <c r="B88" s="617" t="s">
        <v>609</v>
      </c>
      <c r="C88" s="618"/>
      <c r="D88" s="619">
        <f t="shared" ref="D88:O88" si="69">C89</f>
        <v>2246.0331570875337</v>
      </c>
      <c r="E88" s="621">
        <f t="shared" si="69"/>
        <v>2846.1622888632805</v>
      </c>
      <c r="F88" s="621">
        <f t="shared" si="69"/>
        <v>4150.2619048045708</v>
      </c>
      <c r="G88" s="621">
        <f t="shared" si="69"/>
        <v>4486.4021050182382</v>
      </c>
      <c r="H88" s="621">
        <f t="shared" si="69"/>
        <v>5438.516478876757</v>
      </c>
      <c r="I88" s="621">
        <f t="shared" si="69"/>
        <v>6126.6419211731973</v>
      </c>
      <c r="J88" s="621">
        <f t="shared" si="69"/>
        <v>6550.7784319075581</v>
      </c>
      <c r="K88" s="621">
        <f t="shared" si="69"/>
        <v>6798.922321600533</v>
      </c>
      <c r="L88" s="621">
        <f t="shared" si="69"/>
        <v>7047.0662112935079</v>
      </c>
      <c r="M88" s="621">
        <f t="shared" si="69"/>
        <v>7383.2064115071753</v>
      </c>
      <c r="N88" s="621">
        <f t="shared" si="69"/>
        <v>7367.3613696380717</v>
      </c>
      <c r="O88" s="621">
        <f t="shared" si="69"/>
        <v>4975.6159437102588</v>
      </c>
      <c r="P88" s="624"/>
      <c r="Q88" s="634" t="s">
        <v>617</v>
      </c>
      <c r="R88" s="14">
        <f t="shared" si="68"/>
        <v>20</v>
      </c>
      <c r="S88" s="636"/>
    </row>
    <row r="89" spans="2:19" ht="16">
      <c r="B89" s="617" t="s">
        <v>613</v>
      </c>
      <c r="C89" s="620">
        <f>P63</f>
        <v>2246.0331570875337</v>
      </c>
      <c r="D89" s="621">
        <f t="shared" ref="D89:O89" si="70">MAX(D88+D86-C91,0)</f>
        <v>2846.1622888632805</v>
      </c>
      <c r="E89" s="621">
        <f t="shared" si="70"/>
        <v>4150.2619048045708</v>
      </c>
      <c r="F89" s="621">
        <f t="shared" si="70"/>
        <v>4486.4021050182382</v>
      </c>
      <c r="G89" s="621">
        <f t="shared" si="70"/>
        <v>5438.516478876757</v>
      </c>
      <c r="H89" s="621">
        <f t="shared" si="70"/>
        <v>6126.6419211731973</v>
      </c>
      <c r="I89" s="621">
        <f t="shared" si="70"/>
        <v>6550.7784319075581</v>
      </c>
      <c r="J89" s="621">
        <f t="shared" si="70"/>
        <v>6798.922321600533</v>
      </c>
      <c r="K89" s="621">
        <f t="shared" si="70"/>
        <v>7047.0662112935079</v>
      </c>
      <c r="L89" s="621">
        <f t="shared" si="70"/>
        <v>7383.2064115071753</v>
      </c>
      <c r="M89" s="621">
        <f t="shared" si="70"/>
        <v>7367.3613696380717</v>
      </c>
      <c r="N89" s="621">
        <f t="shared" si="70"/>
        <v>4975.6159437102588</v>
      </c>
      <c r="O89" s="621">
        <f t="shared" si="70"/>
        <v>2319.8815862203674</v>
      </c>
      <c r="P89" s="624">
        <f>O89*Y12</f>
        <v>2227.0863227715527</v>
      </c>
      <c r="Q89" s="643" t="s">
        <v>619</v>
      </c>
      <c r="R89" s="8">
        <f>R85*R87*R88</f>
        <v>640</v>
      </c>
      <c r="S89" s="644" t="s">
        <v>620</v>
      </c>
    </row>
    <row r="90" spans="2:19" ht="16">
      <c r="B90" s="617" t="s">
        <v>616</v>
      </c>
      <c r="C90" s="618"/>
      <c r="D90" s="621">
        <f t="shared" ref="D90:O90" si="71">(D88+D89)/2</f>
        <v>2546.0977229754071</v>
      </c>
      <c r="E90" s="621">
        <f t="shared" si="71"/>
        <v>3498.2120968339259</v>
      </c>
      <c r="F90" s="621">
        <f t="shared" si="71"/>
        <v>4318.3320049114045</v>
      </c>
      <c r="G90" s="621">
        <f t="shared" si="71"/>
        <v>4962.4592919474981</v>
      </c>
      <c r="H90" s="621">
        <f t="shared" si="71"/>
        <v>5782.5792000249767</v>
      </c>
      <c r="I90" s="621">
        <f t="shared" si="71"/>
        <v>6338.7101765403777</v>
      </c>
      <c r="J90" s="621">
        <f t="shared" si="71"/>
        <v>6674.850376754046</v>
      </c>
      <c r="K90" s="621">
        <f t="shared" si="71"/>
        <v>6922.99426644702</v>
      </c>
      <c r="L90" s="621">
        <f t="shared" si="71"/>
        <v>7215.1363114003416</v>
      </c>
      <c r="M90" s="621">
        <f t="shared" si="71"/>
        <v>7375.2838905726239</v>
      </c>
      <c r="N90" s="621">
        <f t="shared" si="71"/>
        <v>6171.4886566741652</v>
      </c>
      <c r="O90" s="621">
        <f t="shared" si="71"/>
        <v>3647.7487649653131</v>
      </c>
      <c r="P90" s="624">
        <f>AVERAGE(D90:O90)*Y12</f>
        <v>5236.3114208037678</v>
      </c>
      <c r="Q90" s="648" t="s">
        <v>622</v>
      </c>
      <c r="R90" s="649">
        <f>R89*R86</f>
        <v>3200</v>
      </c>
      <c r="S90" s="636" t="s">
        <v>623</v>
      </c>
    </row>
    <row r="91" spans="2:19" ht="16">
      <c r="B91" s="691" t="s">
        <v>618</v>
      </c>
      <c r="C91" s="640"/>
      <c r="D91" s="641">
        <f t="shared" ref="D91:O91" si="72">MAX(C91-D86-D88,0)</f>
        <v>0</v>
      </c>
      <c r="E91" s="641">
        <f t="shared" si="72"/>
        <v>0</v>
      </c>
      <c r="F91" s="641">
        <f t="shared" si="72"/>
        <v>0</v>
      </c>
      <c r="G91" s="641">
        <f t="shared" si="72"/>
        <v>0</v>
      </c>
      <c r="H91" s="641">
        <f t="shared" si="72"/>
        <v>0</v>
      </c>
      <c r="I91" s="641">
        <f t="shared" si="72"/>
        <v>0</v>
      </c>
      <c r="J91" s="641">
        <f t="shared" si="72"/>
        <v>0</v>
      </c>
      <c r="K91" s="641">
        <f t="shared" si="72"/>
        <v>0</v>
      </c>
      <c r="L91" s="641">
        <f t="shared" si="72"/>
        <v>0</v>
      </c>
      <c r="M91" s="641">
        <f t="shared" si="72"/>
        <v>0</v>
      </c>
      <c r="N91" s="641">
        <f t="shared" si="72"/>
        <v>0</v>
      </c>
      <c r="O91" s="641">
        <f t="shared" si="72"/>
        <v>0</v>
      </c>
      <c r="P91" s="692">
        <f>SUM(D91:O91)*Y12</f>
        <v>0</v>
      </c>
      <c r="Q91" s="14" t="s">
        <v>625</v>
      </c>
      <c r="R91" s="14">
        <f>MAX(D100:O100)</f>
        <v>1</v>
      </c>
      <c r="S91" s="653" t="s">
        <v>611</v>
      </c>
    </row>
    <row r="92" spans="2:19" ht="16">
      <c r="B92" s="623" t="s">
        <v>636</v>
      </c>
      <c r="C92" s="618"/>
      <c r="D92" s="646"/>
      <c r="E92" s="646"/>
      <c r="F92" s="646"/>
      <c r="G92" s="646"/>
      <c r="H92" s="646"/>
      <c r="I92" s="646"/>
      <c r="J92" s="646"/>
      <c r="K92" s="646"/>
      <c r="L92" s="646"/>
      <c r="M92" s="646"/>
      <c r="N92" s="646"/>
      <c r="O92" s="646"/>
      <c r="P92" s="693"/>
      <c r="Q92" s="14" t="s">
        <v>614</v>
      </c>
      <c r="R92" s="677">
        <f>R43</f>
        <v>6</v>
      </c>
      <c r="S92" s="636" t="s">
        <v>615</v>
      </c>
    </row>
    <row r="93" spans="2:19" ht="16">
      <c r="B93" s="623" t="s">
        <v>624</v>
      </c>
      <c r="C93" s="650">
        <f>$V$4/R85</f>
        <v>3.25</v>
      </c>
      <c r="D93" s="651">
        <f t="shared" ref="D93:O93" si="73">D82*$C93</f>
        <v>10400</v>
      </c>
      <c r="E93" s="651">
        <f t="shared" si="73"/>
        <v>10400</v>
      </c>
      <c r="F93" s="651">
        <f t="shared" si="73"/>
        <v>10400</v>
      </c>
      <c r="G93" s="651">
        <f t="shared" si="73"/>
        <v>10400</v>
      </c>
      <c r="H93" s="651">
        <f t="shared" si="73"/>
        <v>10400</v>
      </c>
      <c r="I93" s="651">
        <f t="shared" si="73"/>
        <v>10400</v>
      </c>
      <c r="J93" s="651">
        <f t="shared" si="73"/>
        <v>10400</v>
      </c>
      <c r="K93" s="651">
        <f t="shared" si="73"/>
        <v>10400</v>
      </c>
      <c r="L93" s="651">
        <f t="shared" si="73"/>
        <v>10400</v>
      </c>
      <c r="M93" s="651">
        <f t="shared" si="73"/>
        <v>10400</v>
      </c>
      <c r="N93" s="651">
        <f t="shared" si="73"/>
        <v>10400</v>
      </c>
      <c r="O93" s="651">
        <f t="shared" si="73"/>
        <v>10400</v>
      </c>
      <c r="P93" s="694">
        <f t="shared" ref="P93:P98" si="74">SUM(D93:O93)</f>
        <v>124800</v>
      </c>
      <c r="Q93" s="634" t="s">
        <v>617</v>
      </c>
      <c r="R93" s="14">
        <f>R88</f>
        <v>20</v>
      </c>
      <c r="S93" s="636"/>
    </row>
    <row r="94" spans="2:19" ht="16">
      <c r="B94" s="623" t="s">
        <v>626</v>
      </c>
      <c r="C94" s="650">
        <f>C93*1.5</f>
        <v>4.875</v>
      </c>
      <c r="D94" s="651">
        <f t="shared" ref="D94:O94" si="75">D83*$C94</f>
        <v>0</v>
      </c>
      <c r="E94" s="651">
        <f t="shared" si="75"/>
        <v>0</v>
      </c>
      <c r="F94" s="651">
        <f t="shared" si="75"/>
        <v>0</v>
      </c>
      <c r="G94" s="651">
        <f t="shared" si="75"/>
        <v>0</v>
      </c>
      <c r="H94" s="651">
        <f t="shared" si="75"/>
        <v>0</v>
      </c>
      <c r="I94" s="651">
        <f t="shared" si="75"/>
        <v>0</v>
      </c>
      <c r="J94" s="651">
        <f t="shared" si="75"/>
        <v>0</v>
      </c>
      <c r="K94" s="651">
        <f t="shared" si="75"/>
        <v>0</v>
      </c>
      <c r="L94" s="651">
        <f t="shared" si="75"/>
        <v>0</v>
      </c>
      <c r="M94" s="651">
        <f t="shared" si="75"/>
        <v>0</v>
      </c>
      <c r="N94" s="651">
        <f t="shared" si="75"/>
        <v>0</v>
      </c>
      <c r="O94" s="651">
        <f t="shared" si="75"/>
        <v>0</v>
      </c>
      <c r="P94" s="694">
        <f t="shared" si="74"/>
        <v>0</v>
      </c>
      <c r="Q94" s="643" t="s">
        <v>629</v>
      </c>
      <c r="R94" s="8">
        <f>R92*R93*R85</f>
        <v>480</v>
      </c>
      <c r="S94" s="644" t="s">
        <v>620</v>
      </c>
    </row>
    <row r="95" spans="2:19" ht="16">
      <c r="B95" s="623" t="s">
        <v>627</v>
      </c>
      <c r="C95" s="650">
        <f>$V$7/R85</f>
        <v>2.5750000000000002</v>
      </c>
      <c r="D95" s="651">
        <f t="shared" ref="D95:O95" si="76">D84*$C95</f>
        <v>1236</v>
      </c>
      <c r="E95" s="651">
        <f t="shared" si="76"/>
        <v>1236</v>
      </c>
      <c r="F95" s="651">
        <f t="shared" si="76"/>
        <v>1236</v>
      </c>
      <c r="G95" s="651">
        <f t="shared" si="76"/>
        <v>1236</v>
      </c>
      <c r="H95" s="651">
        <f t="shared" si="76"/>
        <v>1236</v>
      </c>
      <c r="I95" s="651">
        <f t="shared" si="76"/>
        <v>1236</v>
      </c>
      <c r="J95" s="651">
        <f t="shared" si="76"/>
        <v>1236</v>
      </c>
      <c r="K95" s="651">
        <f t="shared" si="76"/>
        <v>1236</v>
      </c>
      <c r="L95" s="651">
        <f t="shared" si="76"/>
        <v>1236</v>
      </c>
      <c r="M95" s="651">
        <f t="shared" si="76"/>
        <v>1236</v>
      </c>
      <c r="N95" s="651">
        <f t="shared" si="76"/>
        <v>1236</v>
      </c>
      <c r="O95" s="651">
        <f t="shared" si="76"/>
        <v>1236</v>
      </c>
      <c r="P95" s="694">
        <f t="shared" si="74"/>
        <v>14832</v>
      </c>
      <c r="Q95" s="648" t="s">
        <v>631</v>
      </c>
      <c r="R95" s="649">
        <f>R91*R94</f>
        <v>480</v>
      </c>
      <c r="S95" s="654" t="s">
        <v>623</v>
      </c>
    </row>
    <row r="96" spans="2:19" ht="16">
      <c r="B96" s="623" t="s">
        <v>628</v>
      </c>
      <c r="C96" s="652"/>
      <c r="D96" s="651">
        <f t="shared" ref="D96:O96" si="77">D85*$C96</f>
        <v>0</v>
      </c>
      <c r="E96" s="651">
        <f t="shared" si="77"/>
        <v>0</v>
      </c>
      <c r="F96" s="651">
        <f t="shared" si="77"/>
        <v>0</v>
      </c>
      <c r="G96" s="651">
        <f t="shared" si="77"/>
        <v>0</v>
      </c>
      <c r="H96" s="651">
        <f t="shared" si="77"/>
        <v>0</v>
      </c>
      <c r="I96" s="651">
        <f t="shared" si="77"/>
        <v>0</v>
      </c>
      <c r="J96" s="651">
        <f t="shared" si="77"/>
        <v>0</v>
      </c>
      <c r="K96" s="651">
        <f t="shared" si="77"/>
        <v>0</v>
      </c>
      <c r="L96" s="651">
        <f t="shared" si="77"/>
        <v>0</v>
      </c>
      <c r="M96" s="651">
        <f t="shared" si="77"/>
        <v>0</v>
      </c>
      <c r="N96" s="651">
        <f t="shared" si="77"/>
        <v>0</v>
      </c>
      <c r="O96" s="651">
        <f t="shared" si="77"/>
        <v>0</v>
      </c>
      <c r="P96" s="694">
        <f t="shared" si="74"/>
        <v>0</v>
      </c>
      <c r="Q96" s="3"/>
      <c r="R96" s="3"/>
      <c r="S96" s="3"/>
    </row>
    <row r="97" spans="2:19" ht="16">
      <c r="B97" s="623" t="s">
        <v>630</v>
      </c>
      <c r="C97" s="650">
        <f>C46</f>
        <v>0.32500000000000001</v>
      </c>
      <c r="D97" s="651">
        <f t="shared" ref="D97:O97" si="78">D90*$C97</f>
        <v>827.48175996700729</v>
      </c>
      <c r="E97" s="651">
        <f t="shared" si="78"/>
        <v>1136.9189314710259</v>
      </c>
      <c r="F97" s="651">
        <f t="shared" si="78"/>
        <v>1403.4579015962065</v>
      </c>
      <c r="G97" s="651">
        <f t="shared" si="78"/>
        <v>1612.7992698829369</v>
      </c>
      <c r="H97" s="651">
        <f t="shared" si="78"/>
        <v>1879.3382400081175</v>
      </c>
      <c r="I97" s="651">
        <f t="shared" si="78"/>
        <v>2060.080807375623</v>
      </c>
      <c r="J97" s="651">
        <f t="shared" si="78"/>
        <v>2169.3263724450649</v>
      </c>
      <c r="K97" s="651">
        <f t="shared" si="78"/>
        <v>2249.9731365952816</v>
      </c>
      <c r="L97" s="651">
        <f t="shared" si="78"/>
        <v>2344.919301205111</v>
      </c>
      <c r="M97" s="651">
        <f t="shared" si="78"/>
        <v>2396.9672644361031</v>
      </c>
      <c r="N97" s="651">
        <f t="shared" si="78"/>
        <v>2005.7338134191039</v>
      </c>
      <c r="O97" s="651">
        <f t="shared" si="78"/>
        <v>1185.5183486137269</v>
      </c>
      <c r="P97" s="694">
        <f t="shared" si="74"/>
        <v>21272.515147015311</v>
      </c>
      <c r="Q97" s="3"/>
      <c r="R97" s="3"/>
      <c r="S97" s="3"/>
    </row>
    <row r="98" spans="2:19" ht="16">
      <c r="B98" s="656" t="s">
        <v>632</v>
      </c>
      <c r="C98" s="657"/>
      <c r="D98" s="658">
        <f t="shared" ref="D98:O98" si="79">D91*$C98</f>
        <v>0</v>
      </c>
      <c r="E98" s="658">
        <f t="shared" si="79"/>
        <v>0</v>
      </c>
      <c r="F98" s="658">
        <f t="shared" si="79"/>
        <v>0</v>
      </c>
      <c r="G98" s="658">
        <f t="shared" si="79"/>
        <v>0</v>
      </c>
      <c r="H98" s="658">
        <f t="shared" si="79"/>
        <v>0</v>
      </c>
      <c r="I98" s="658">
        <f t="shared" si="79"/>
        <v>0</v>
      </c>
      <c r="J98" s="658">
        <f t="shared" si="79"/>
        <v>0</v>
      </c>
      <c r="K98" s="658">
        <f t="shared" si="79"/>
        <v>0</v>
      </c>
      <c r="L98" s="658">
        <f t="shared" si="79"/>
        <v>0</v>
      </c>
      <c r="M98" s="658">
        <f t="shared" si="79"/>
        <v>0</v>
      </c>
      <c r="N98" s="658">
        <f t="shared" si="79"/>
        <v>0</v>
      </c>
      <c r="O98" s="658">
        <f t="shared" si="79"/>
        <v>0</v>
      </c>
      <c r="P98" s="695">
        <f t="shared" si="74"/>
        <v>0</v>
      </c>
      <c r="Q98" s="3"/>
      <c r="R98" s="3"/>
      <c r="S98" s="3"/>
    </row>
    <row r="99" spans="2:19" ht="16">
      <c r="B99" s="639" t="s">
        <v>381</v>
      </c>
      <c r="C99" s="640"/>
      <c r="D99" s="658">
        <f t="shared" ref="D99:P99" si="80">SUM(D93:D98)</f>
        <v>12463.481759967008</v>
      </c>
      <c r="E99" s="658">
        <f t="shared" si="80"/>
        <v>12772.918931471026</v>
      </c>
      <c r="F99" s="658">
        <f t="shared" si="80"/>
        <v>13039.457901596206</v>
      </c>
      <c r="G99" s="658">
        <f t="shared" si="80"/>
        <v>13248.799269882937</v>
      </c>
      <c r="H99" s="658">
        <f t="shared" si="80"/>
        <v>13515.338240008117</v>
      </c>
      <c r="I99" s="658">
        <f t="shared" si="80"/>
        <v>13696.080807375623</v>
      </c>
      <c r="J99" s="658">
        <f t="shared" si="80"/>
        <v>13805.326372445064</v>
      </c>
      <c r="K99" s="658">
        <f t="shared" si="80"/>
        <v>13885.973136595281</v>
      </c>
      <c r="L99" s="658">
        <f t="shared" si="80"/>
        <v>13980.919301205111</v>
      </c>
      <c r="M99" s="658">
        <f t="shared" si="80"/>
        <v>14032.967264436104</v>
      </c>
      <c r="N99" s="658">
        <f t="shared" si="80"/>
        <v>13641.733813419103</v>
      </c>
      <c r="O99" s="658">
        <f t="shared" si="80"/>
        <v>12821.518348613727</v>
      </c>
      <c r="P99" s="696">
        <f t="shared" si="80"/>
        <v>160904.51514701531</v>
      </c>
      <c r="Q99" s="3"/>
      <c r="R99" s="3"/>
      <c r="S99" s="3"/>
    </row>
    <row r="100" spans="2:19" ht="16">
      <c r="B100" s="2050" t="s">
        <v>633</v>
      </c>
      <c r="C100" s="1999"/>
      <c r="D100" s="661">
        <v>1</v>
      </c>
      <c r="E100" s="661">
        <v>1</v>
      </c>
      <c r="F100" s="661">
        <v>1</v>
      </c>
      <c r="G100" s="661">
        <v>1</v>
      </c>
      <c r="H100" s="661">
        <v>1</v>
      </c>
      <c r="I100" s="661">
        <v>1</v>
      </c>
      <c r="J100" s="661">
        <v>1</v>
      </c>
      <c r="K100" s="661">
        <v>1</v>
      </c>
      <c r="L100" s="661">
        <v>1</v>
      </c>
      <c r="M100" s="661">
        <v>1</v>
      </c>
      <c r="N100" s="687">
        <v>1</v>
      </c>
      <c r="O100" s="697">
        <v>1</v>
      </c>
      <c r="P100" s="3"/>
      <c r="Q100" s="3"/>
      <c r="R100" s="3"/>
      <c r="S100" s="3"/>
    </row>
    <row r="101" spans="2:19" ht="16">
      <c r="Q101" s="3"/>
      <c r="R101" s="3"/>
      <c r="S101" s="3"/>
    </row>
    <row r="102" spans="2:19" ht="18" thickTop="1" thickBot="1">
      <c r="B102" s="665"/>
      <c r="C102" s="3"/>
      <c r="D102" s="666">
        <f t="shared" ref="D102:O102" si="81">D105*D103</f>
        <v>270.8263926921947</v>
      </c>
      <c r="E102" s="667">
        <f t="shared" si="81"/>
        <v>161.16933899804891</v>
      </c>
      <c r="F102" s="667">
        <f t="shared" si="81"/>
        <v>319.2435192224728</v>
      </c>
      <c r="G102" s="667">
        <f t="shared" si="81"/>
        <v>212.46054153240738</v>
      </c>
      <c r="H102" s="667">
        <f t="shared" si="81"/>
        <v>255.57168159361393</v>
      </c>
      <c r="I102" s="667">
        <f t="shared" si="81"/>
        <v>302.66231150662406</v>
      </c>
      <c r="J102" s="667">
        <f t="shared" si="81"/>
        <v>336.26689247741075</v>
      </c>
      <c r="K102" s="667">
        <f t="shared" si="81"/>
        <v>336.26689247741075</v>
      </c>
      <c r="L102" s="667">
        <f t="shared" si="81"/>
        <v>319.2435192224728</v>
      </c>
      <c r="M102" s="667">
        <f t="shared" si="81"/>
        <v>389.99000547676025</v>
      </c>
      <c r="N102" s="667">
        <f t="shared" si="81"/>
        <v>1052.5750658020725</v>
      </c>
      <c r="O102" s="668">
        <f t="shared" si="81"/>
        <v>1146.0930773194589</v>
      </c>
      <c r="P102" s="669">
        <f t="shared" ref="P102:P103" si="82">SUM(D102:O102)</f>
        <v>5102.3692383209482</v>
      </c>
      <c r="Q102" s="3"/>
      <c r="R102" s="3"/>
      <c r="S102" s="3"/>
    </row>
    <row r="103" spans="2:19" ht="53" thickTop="1" thickBot="1">
      <c r="B103" s="1060" t="s">
        <v>641</v>
      </c>
      <c r="C103" s="828" t="s">
        <v>586</v>
      </c>
      <c r="D103" s="670">
        <f t="shared" ref="D103:O103" si="83">D27</f>
        <v>6.9860279441117765E-2</v>
      </c>
      <c r="E103" s="670">
        <f t="shared" si="83"/>
        <v>5.3892215568862277E-2</v>
      </c>
      <c r="F103" s="670">
        <f t="shared" si="83"/>
        <v>7.5848303393213579E-2</v>
      </c>
      <c r="G103" s="670">
        <f t="shared" si="83"/>
        <v>6.1876247504990017E-2</v>
      </c>
      <c r="H103" s="670">
        <f t="shared" si="83"/>
        <v>6.7864271457085831E-2</v>
      </c>
      <c r="I103" s="670">
        <f t="shared" si="83"/>
        <v>7.3852295409181631E-2</v>
      </c>
      <c r="J103" s="670">
        <f t="shared" si="83"/>
        <v>7.7844311377245512E-2</v>
      </c>
      <c r="K103" s="670">
        <f t="shared" si="83"/>
        <v>7.7844311377245512E-2</v>
      </c>
      <c r="L103" s="670">
        <f t="shared" si="83"/>
        <v>7.5848303393213579E-2</v>
      </c>
      <c r="M103" s="670">
        <f t="shared" si="83"/>
        <v>8.3832335329341312E-2</v>
      </c>
      <c r="N103" s="670">
        <f t="shared" si="83"/>
        <v>0.1377245508982036</v>
      </c>
      <c r="O103" s="670">
        <f t="shared" si="83"/>
        <v>0.1437125748502994</v>
      </c>
      <c r="P103" s="664">
        <f t="shared" si="82"/>
        <v>1</v>
      </c>
      <c r="Q103" s="3"/>
      <c r="R103" s="3"/>
      <c r="S103" s="3"/>
    </row>
    <row r="104" spans="2:19" ht="18" thickTop="1" thickBot="1">
      <c r="B104" s="639" t="s">
        <v>590</v>
      </c>
      <c r="C104" s="611"/>
      <c r="D104" s="612">
        <v>1</v>
      </c>
      <c r="E104" s="612">
        <v>2</v>
      </c>
      <c r="F104" s="612">
        <v>3</v>
      </c>
      <c r="G104" s="612">
        <v>4</v>
      </c>
      <c r="H104" s="612">
        <v>5</v>
      </c>
      <c r="I104" s="612">
        <v>6</v>
      </c>
      <c r="J104" s="612">
        <v>7</v>
      </c>
      <c r="K104" s="612">
        <v>8</v>
      </c>
      <c r="L104" s="612">
        <v>9</v>
      </c>
      <c r="M104" s="612">
        <v>10</v>
      </c>
      <c r="N104" s="612">
        <v>11</v>
      </c>
      <c r="O104" s="612">
        <v>12</v>
      </c>
      <c r="P104" s="688" t="s">
        <v>848</v>
      </c>
      <c r="Q104" s="3"/>
      <c r="R104" s="3"/>
      <c r="S104" s="3"/>
    </row>
    <row r="105" spans="2:19" ht="17" thickTop="1">
      <c r="B105" s="689" t="s">
        <v>592</v>
      </c>
      <c r="C105" s="618"/>
      <c r="D105" s="619">
        <f t="shared" ref="D105:O105" si="84">D103*$P$105</f>
        <v>3876.6863639654152</v>
      </c>
      <c r="E105" s="619">
        <f t="shared" si="84"/>
        <v>2990.5866236304632</v>
      </c>
      <c r="F105" s="619">
        <f t="shared" si="84"/>
        <v>4208.9737665910225</v>
      </c>
      <c r="G105" s="619">
        <f t="shared" si="84"/>
        <v>3433.6364937979388</v>
      </c>
      <c r="H105" s="619">
        <f t="shared" si="84"/>
        <v>3765.9238964235465</v>
      </c>
      <c r="I105" s="619">
        <f t="shared" si="84"/>
        <v>4098.2112990491532</v>
      </c>
      <c r="J105" s="619">
        <f t="shared" si="84"/>
        <v>4319.7362341328917</v>
      </c>
      <c r="K105" s="619">
        <f t="shared" si="84"/>
        <v>4319.7362341328917</v>
      </c>
      <c r="L105" s="619">
        <f t="shared" si="84"/>
        <v>4208.9737665910225</v>
      </c>
      <c r="M105" s="619">
        <f t="shared" si="84"/>
        <v>4652.0236367584976</v>
      </c>
      <c r="N105" s="619">
        <f t="shared" si="84"/>
        <v>7642.6102603889613</v>
      </c>
      <c r="O105" s="619">
        <f t="shared" si="84"/>
        <v>7974.897663014568</v>
      </c>
      <c r="P105" s="624">
        <f>'MK Bases Model (Base Case)'!E16</f>
        <v>55491.996238476371</v>
      </c>
      <c r="Q105" s="3"/>
      <c r="R105" s="3"/>
      <c r="S105" s="3"/>
    </row>
    <row r="106" spans="2:19" ht="16">
      <c r="B106" s="689" t="s">
        <v>594</v>
      </c>
      <c r="C106" s="618"/>
      <c r="D106" s="621"/>
      <c r="E106" s="621"/>
      <c r="F106" s="621"/>
      <c r="G106" s="621"/>
      <c r="H106" s="621"/>
      <c r="I106" s="621"/>
      <c r="J106" s="621"/>
      <c r="K106" s="621"/>
      <c r="L106" s="621"/>
      <c r="M106" s="621"/>
      <c r="N106" s="621"/>
      <c r="O106" s="621"/>
      <c r="P106" s="624"/>
      <c r="Q106" s="3"/>
      <c r="R106" s="3"/>
      <c r="S106" s="3"/>
    </row>
    <row r="107" spans="2:19" ht="16">
      <c r="B107" s="623" t="s">
        <v>596</v>
      </c>
      <c r="C107" s="618"/>
      <c r="D107" s="619">
        <f t="shared" ref="D107:O107" si="85">$R$116</f>
        <v>3840</v>
      </c>
      <c r="E107" s="619">
        <f t="shared" si="85"/>
        <v>3840</v>
      </c>
      <c r="F107" s="619">
        <f t="shared" si="85"/>
        <v>3840</v>
      </c>
      <c r="G107" s="619">
        <f t="shared" si="85"/>
        <v>3840</v>
      </c>
      <c r="H107" s="619">
        <f t="shared" si="85"/>
        <v>3840</v>
      </c>
      <c r="I107" s="619">
        <f t="shared" si="85"/>
        <v>3840</v>
      </c>
      <c r="J107" s="619">
        <f t="shared" si="85"/>
        <v>3840</v>
      </c>
      <c r="K107" s="619">
        <f t="shared" si="85"/>
        <v>3840</v>
      </c>
      <c r="L107" s="619">
        <f t="shared" si="85"/>
        <v>3840</v>
      </c>
      <c r="M107" s="619">
        <f t="shared" si="85"/>
        <v>3840</v>
      </c>
      <c r="N107" s="619">
        <f t="shared" si="85"/>
        <v>3840</v>
      </c>
      <c r="O107" s="619">
        <f t="shared" si="85"/>
        <v>3840</v>
      </c>
      <c r="P107" s="624">
        <f t="shared" ref="P107:P111" si="86">SUM(D107:O107)*$Z$12</f>
        <v>44697.599999999999</v>
      </c>
      <c r="Q107" s="3"/>
      <c r="R107" s="3"/>
      <c r="S107" s="3"/>
    </row>
    <row r="108" spans="2:19" ht="16">
      <c r="B108" s="617" t="s">
        <v>599</v>
      </c>
      <c r="C108" s="618"/>
      <c r="D108" s="619">
        <f t="shared" ref="D108:O108" si="87">0</f>
        <v>0</v>
      </c>
      <c r="E108" s="619">
        <f t="shared" si="87"/>
        <v>0</v>
      </c>
      <c r="F108" s="619">
        <f t="shared" si="87"/>
        <v>0</v>
      </c>
      <c r="G108" s="619">
        <f t="shared" si="87"/>
        <v>0</v>
      </c>
      <c r="H108" s="619">
        <f t="shared" si="87"/>
        <v>0</v>
      </c>
      <c r="I108" s="619">
        <f t="shared" si="87"/>
        <v>0</v>
      </c>
      <c r="J108" s="619">
        <f t="shared" si="87"/>
        <v>0</v>
      </c>
      <c r="K108" s="619">
        <f t="shared" si="87"/>
        <v>0</v>
      </c>
      <c r="L108" s="619">
        <f t="shared" si="87"/>
        <v>0</v>
      </c>
      <c r="M108" s="619">
        <f t="shared" si="87"/>
        <v>0</v>
      </c>
      <c r="N108" s="619">
        <f t="shared" si="87"/>
        <v>0</v>
      </c>
      <c r="O108" s="619">
        <f t="shared" si="87"/>
        <v>0</v>
      </c>
      <c r="P108" s="624">
        <f t="shared" si="86"/>
        <v>0</v>
      </c>
      <c r="Q108" s="3"/>
      <c r="R108" s="3"/>
      <c r="S108" s="3"/>
    </row>
    <row r="109" spans="2:19" ht="16">
      <c r="B109" s="617" t="s">
        <v>601</v>
      </c>
      <c r="C109" s="618"/>
      <c r="D109" s="621">
        <f t="shared" ref="D109:O109" si="88">$R$120*D125</f>
        <v>480</v>
      </c>
      <c r="E109" s="621">
        <f t="shared" si="88"/>
        <v>480</v>
      </c>
      <c r="F109" s="621">
        <f t="shared" si="88"/>
        <v>480</v>
      </c>
      <c r="G109" s="621">
        <f t="shared" si="88"/>
        <v>960</v>
      </c>
      <c r="H109" s="621">
        <f t="shared" si="88"/>
        <v>960</v>
      </c>
      <c r="I109" s="621">
        <f t="shared" si="88"/>
        <v>960</v>
      </c>
      <c r="J109" s="621">
        <f t="shared" si="88"/>
        <v>960</v>
      </c>
      <c r="K109" s="621">
        <f t="shared" si="88"/>
        <v>960</v>
      </c>
      <c r="L109" s="621">
        <f t="shared" si="88"/>
        <v>960</v>
      </c>
      <c r="M109" s="621">
        <f t="shared" si="88"/>
        <v>960</v>
      </c>
      <c r="N109" s="621">
        <f t="shared" si="88"/>
        <v>960</v>
      </c>
      <c r="O109" s="621">
        <f t="shared" si="88"/>
        <v>960</v>
      </c>
      <c r="P109" s="624">
        <f t="shared" si="86"/>
        <v>9777.6</v>
      </c>
      <c r="Q109" s="3"/>
      <c r="R109" s="3"/>
      <c r="S109" s="3"/>
    </row>
    <row r="110" spans="2:19" ht="16">
      <c r="B110" s="617" t="s">
        <v>602</v>
      </c>
      <c r="C110" s="618"/>
      <c r="D110" s="621">
        <f t="shared" ref="D110:O110" si="89">0</f>
        <v>0</v>
      </c>
      <c r="E110" s="621">
        <f t="shared" si="89"/>
        <v>0</v>
      </c>
      <c r="F110" s="621">
        <f t="shared" si="89"/>
        <v>0</v>
      </c>
      <c r="G110" s="621">
        <f t="shared" si="89"/>
        <v>0</v>
      </c>
      <c r="H110" s="621">
        <f t="shared" si="89"/>
        <v>0</v>
      </c>
      <c r="I110" s="621">
        <f t="shared" si="89"/>
        <v>0</v>
      </c>
      <c r="J110" s="621">
        <f t="shared" si="89"/>
        <v>0</v>
      </c>
      <c r="K110" s="621">
        <f t="shared" si="89"/>
        <v>0</v>
      </c>
      <c r="L110" s="621">
        <f t="shared" si="89"/>
        <v>0</v>
      </c>
      <c r="M110" s="621">
        <f t="shared" si="89"/>
        <v>0</v>
      </c>
      <c r="N110" s="621">
        <f t="shared" si="89"/>
        <v>0</v>
      </c>
      <c r="O110" s="621">
        <f t="shared" si="89"/>
        <v>0</v>
      </c>
      <c r="P110" s="624">
        <f t="shared" si="86"/>
        <v>0</v>
      </c>
      <c r="Q110" s="2051" t="s">
        <v>643</v>
      </c>
      <c r="R110" s="2052"/>
      <c r="S110" s="2053"/>
    </row>
    <row r="111" spans="2:19" ht="16">
      <c r="B111" s="690" t="s">
        <v>603</v>
      </c>
      <c r="C111" s="618"/>
      <c r="D111" s="621">
        <f t="shared" ref="D111:O111" si="90">SUM(D107:D110)-D105</f>
        <v>443.31363603458476</v>
      </c>
      <c r="E111" s="621">
        <f t="shared" si="90"/>
        <v>1329.4133763695368</v>
      </c>
      <c r="F111" s="621">
        <f t="shared" si="90"/>
        <v>111.02623340897753</v>
      </c>
      <c r="G111" s="621">
        <f t="shared" si="90"/>
        <v>1366.3635062020612</v>
      </c>
      <c r="H111" s="621">
        <f t="shared" si="90"/>
        <v>1034.0761035764535</v>
      </c>
      <c r="I111" s="621">
        <f t="shared" si="90"/>
        <v>701.78870095084676</v>
      </c>
      <c r="J111" s="621">
        <f t="shared" si="90"/>
        <v>480.2637658671083</v>
      </c>
      <c r="K111" s="621">
        <f t="shared" si="90"/>
        <v>480.2637658671083</v>
      </c>
      <c r="L111" s="621">
        <f t="shared" si="90"/>
        <v>591.02623340897753</v>
      </c>
      <c r="M111" s="621">
        <f t="shared" si="90"/>
        <v>147.97636324150244</v>
      </c>
      <c r="N111" s="621">
        <f t="shared" si="90"/>
        <v>-2842.6102603889613</v>
      </c>
      <c r="O111" s="621">
        <f t="shared" si="90"/>
        <v>-3174.897663014568</v>
      </c>
      <c r="P111" s="624">
        <f t="shared" si="86"/>
        <v>647.96364867791897</v>
      </c>
      <c r="Q111" s="629" t="s">
        <v>606</v>
      </c>
      <c r="R111" s="836">
        <f>V3</f>
        <v>4</v>
      </c>
      <c r="S111" s="630" t="s">
        <v>607</v>
      </c>
    </row>
    <row r="112" spans="2:19" ht="16">
      <c r="B112" s="689" t="s">
        <v>605</v>
      </c>
      <c r="C112" s="618"/>
      <c r="D112" s="621"/>
      <c r="E112" s="621"/>
      <c r="F112" s="621"/>
      <c r="G112" s="621"/>
      <c r="H112" s="621"/>
      <c r="I112" s="621"/>
      <c r="J112" s="621"/>
      <c r="K112" s="621"/>
      <c r="L112" s="621"/>
      <c r="M112" s="621"/>
      <c r="N112" s="621"/>
      <c r="O112" s="621"/>
      <c r="P112" s="624"/>
      <c r="Q112" s="14" t="s">
        <v>610</v>
      </c>
      <c r="R112" s="635">
        <v>6</v>
      </c>
      <c r="S112" s="636" t="s">
        <v>611</v>
      </c>
    </row>
    <row r="113" spans="2:19" ht="16">
      <c r="B113" s="617" t="s">
        <v>609</v>
      </c>
      <c r="C113" s="618"/>
      <c r="D113" s="619">
        <f t="shared" ref="D113:O113" si="91">C114</f>
        <v>2227.0863227715527</v>
      </c>
      <c r="E113" s="621">
        <f t="shared" si="91"/>
        <v>2670.3999588061374</v>
      </c>
      <c r="F113" s="621">
        <f t="shared" si="91"/>
        <v>3999.8133351756742</v>
      </c>
      <c r="G113" s="621">
        <f t="shared" si="91"/>
        <v>4110.8395685846517</v>
      </c>
      <c r="H113" s="621">
        <f t="shared" si="91"/>
        <v>5477.2030747867129</v>
      </c>
      <c r="I113" s="621">
        <f t="shared" si="91"/>
        <v>6511.2791783631665</v>
      </c>
      <c r="J113" s="621">
        <f t="shared" si="91"/>
        <v>7213.0678793140132</v>
      </c>
      <c r="K113" s="621">
        <f t="shared" si="91"/>
        <v>7693.3316451811215</v>
      </c>
      <c r="L113" s="621">
        <f t="shared" si="91"/>
        <v>8173.5954110482298</v>
      </c>
      <c r="M113" s="621">
        <f t="shared" si="91"/>
        <v>8764.6216444572074</v>
      </c>
      <c r="N113" s="621">
        <f t="shared" si="91"/>
        <v>8912.5980076987107</v>
      </c>
      <c r="O113" s="621">
        <f t="shared" si="91"/>
        <v>6069.9877473097495</v>
      </c>
      <c r="P113" s="624"/>
      <c r="Q113" s="14" t="s">
        <v>614</v>
      </c>
      <c r="R113" s="677">
        <f t="shared" ref="R113:R114" si="92">R38</f>
        <v>8</v>
      </c>
      <c r="S113" s="636" t="s">
        <v>615</v>
      </c>
    </row>
    <row r="114" spans="2:19" ht="16">
      <c r="B114" s="617" t="s">
        <v>613</v>
      </c>
      <c r="C114" s="620">
        <f>P89</f>
        <v>2227.0863227715527</v>
      </c>
      <c r="D114" s="621">
        <f t="shared" ref="D114:O114" si="93">MAX(D113+D111-C116,0)</f>
        <v>2670.3999588061374</v>
      </c>
      <c r="E114" s="621">
        <f t="shared" si="93"/>
        <v>3999.8133351756742</v>
      </c>
      <c r="F114" s="621">
        <f t="shared" si="93"/>
        <v>4110.8395685846517</v>
      </c>
      <c r="G114" s="621">
        <f t="shared" si="93"/>
        <v>5477.2030747867129</v>
      </c>
      <c r="H114" s="621">
        <f t="shared" si="93"/>
        <v>6511.2791783631665</v>
      </c>
      <c r="I114" s="621">
        <f t="shared" si="93"/>
        <v>7213.0678793140132</v>
      </c>
      <c r="J114" s="621">
        <f t="shared" si="93"/>
        <v>7693.3316451811215</v>
      </c>
      <c r="K114" s="621">
        <f t="shared" si="93"/>
        <v>8173.5954110482298</v>
      </c>
      <c r="L114" s="621">
        <f t="shared" si="93"/>
        <v>8764.6216444572074</v>
      </c>
      <c r="M114" s="621">
        <f t="shared" si="93"/>
        <v>8912.5980076987107</v>
      </c>
      <c r="N114" s="621">
        <f t="shared" si="93"/>
        <v>6069.9877473097495</v>
      </c>
      <c r="O114" s="621">
        <f t="shared" si="93"/>
        <v>2895.0900842951814</v>
      </c>
      <c r="P114" s="624">
        <f>O114*$Z$12</f>
        <v>2808.2373817663261</v>
      </c>
      <c r="Q114" s="634" t="s">
        <v>617</v>
      </c>
      <c r="R114" s="14">
        <f t="shared" si="92"/>
        <v>20</v>
      </c>
      <c r="S114" s="636"/>
    </row>
    <row r="115" spans="2:19" ht="16">
      <c r="B115" s="617" t="s">
        <v>616</v>
      </c>
      <c r="C115" s="618"/>
      <c r="D115" s="621">
        <f t="shared" ref="D115:O115" si="94">(D113+D114)/2</f>
        <v>2448.7431407888453</v>
      </c>
      <c r="E115" s="621">
        <f t="shared" si="94"/>
        <v>3335.1066469909056</v>
      </c>
      <c r="F115" s="621">
        <f t="shared" si="94"/>
        <v>4055.3264518801629</v>
      </c>
      <c r="G115" s="621">
        <f t="shared" si="94"/>
        <v>4794.0213216856828</v>
      </c>
      <c r="H115" s="621">
        <f t="shared" si="94"/>
        <v>5994.2411265749397</v>
      </c>
      <c r="I115" s="621">
        <f t="shared" si="94"/>
        <v>6862.1735288385898</v>
      </c>
      <c r="J115" s="621">
        <f t="shared" si="94"/>
        <v>7453.1997622475674</v>
      </c>
      <c r="K115" s="621">
        <f t="shared" si="94"/>
        <v>7933.4635281146757</v>
      </c>
      <c r="L115" s="621">
        <f t="shared" si="94"/>
        <v>8469.1085277527181</v>
      </c>
      <c r="M115" s="621">
        <f t="shared" si="94"/>
        <v>8838.6098260779581</v>
      </c>
      <c r="N115" s="621">
        <f t="shared" si="94"/>
        <v>7491.2928775042301</v>
      </c>
      <c r="O115" s="621">
        <f t="shared" si="94"/>
        <v>4482.5389158024655</v>
      </c>
      <c r="P115" s="624">
        <f>AVERAGE(D115:O115)*$Z$12</f>
        <v>5832.7575737192474</v>
      </c>
      <c r="Q115" s="643" t="s">
        <v>619</v>
      </c>
      <c r="R115" s="8">
        <f>R111*R113*R114</f>
        <v>640</v>
      </c>
      <c r="S115" s="644" t="s">
        <v>620</v>
      </c>
    </row>
    <row r="116" spans="2:19" ht="16">
      <c r="B116" s="691" t="s">
        <v>618</v>
      </c>
      <c r="C116" s="640"/>
      <c r="D116" s="641">
        <f t="shared" ref="D116:O116" si="95">MAX(C116-D111-D113,0)</f>
        <v>0</v>
      </c>
      <c r="E116" s="641">
        <f t="shared" si="95"/>
        <v>0</v>
      </c>
      <c r="F116" s="641">
        <f t="shared" si="95"/>
        <v>0</v>
      </c>
      <c r="G116" s="641">
        <f t="shared" si="95"/>
        <v>0</v>
      </c>
      <c r="H116" s="641">
        <f t="shared" si="95"/>
        <v>0</v>
      </c>
      <c r="I116" s="641">
        <f t="shared" si="95"/>
        <v>0</v>
      </c>
      <c r="J116" s="641">
        <f t="shared" si="95"/>
        <v>0</v>
      </c>
      <c r="K116" s="641">
        <f t="shared" si="95"/>
        <v>0</v>
      </c>
      <c r="L116" s="641">
        <f t="shared" si="95"/>
        <v>0</v>
      </c>
      <c r="M116" s="641">
        <f t="shared" si="95"/>
        <v>0</v>
      </c>
      <c r="N116" s="641">
        <f t="shared" si="95"/>
        <v>0</v>
      </c>
      <c r="O116" s="641">
        <f t="shared" si="95"/>
        <v>0</v>
      </c>
      <c r="P116" s="692">
        <f>SUM(D116:O116)</f>
        <v>0</v>
      </c>
      <c r="Q116" s="648" t="s">
        <v>622</v>
      </c>
      <c r="R116" s="649">
        <f>R115*R112</f>
        <v>3840</v>
      </c>
      <c r="S116" s="636" t="s">
        <v>623</v>
      </c>
    </row>
    <row r="117" spans="2:19" ht="16">
      <c r="B117" s="623" t="s">
        <v>636</v>
      </c>
      <c r="C117" s="618"/>
      <c r="D117" s="646"/>
      <c r="E117" s="646"/>
      <c r="F117" s="646"/>
      <c r="G117" s="646"/>
      <c r="H117" s="646"/>
      <c r="I117" s="646"/>
      <c r="J117" s="646"/>
      <c r="K117" s="646"/>
      <c r="L117" s="646"/>
      <c r="M117" s="646"/>
      <c r="N117" s="646"/>
      <c r="O117" s="646"/>
      <c r="P117" s="693"/>
      <c r="Q117" s="14" t="s">
        <v>625</v>
      </c>
      <c r="R117" s="14">
        <f>MAX(D125:O125)</f>
        <v>2</v>
      </c>
      <c r="S117" s="653" t="s">
        <v>611</v>
      </c>
    </row>
    <row r="118" spans="2:19" ht="16">
      <c r="B118" s="623" t="s">
        <v>624</v>
      </c>
      <c r="C118" s="650">
        <f>$V$4/R111</f>
        <v>3.25</v>
      </c>
      <c r="D118" s="651">
        <f t="shared" ref="D118:O118" si="96">D107*$C118</f>
        <v>12480</v>
      </c>
      <c r="E118" s="651">
        <f t="shared" si="96"/>
        <v>12480</v>
      </c>
      <c r="F118" s="651">
        <f t="shared" si="96"/>
        <v>12480</v>
      </c>
      <c r="G118" s="651">
        <f t="shared" si="96"/>
        <v>12480</v>
      </c>
      <c r="H118" s="651">
        <f t="shared" si="96"/>
        <v>12480</v>
      </c>
      <c r="I118" s="651">
        <f t="shared" si="96"/>
        <v>12480</v>
      </c>
      <c r="J118" s="651">
        <f t="shared" si="96"/>
        <v>12480</v>
      </c>
      <c r="K118" s="651">
        <f t="shared" si="96"/>
        <v>12480</v>
      </c>
      <c r="L118" s="651">
        <f t="shared" si="96"/>
        <v>12480</v>
      </c>
      <c r="M118" s="651">
        <f t="shared" si="96"/>
        <v>12480</v>
      </c>
      <c r="N118" s="651">
        <f t="shared" si="96"/>
        <v>12480</v>
      </c>
      <c r="O118" s="651">
        <f t="shared" si="96"/>
        <v>12480</v>
      </c>
      <c r="P118" s="694">
        <f t="shared" ref="P118:P123" si="97">SUM(D118:O118)</f>
        <v>149760</v>
      </c>
      <c r="Q118" s="14" t="s">
        <v>614</v>
      </c>
      <c r="R118" s="677">
        <f>R43</f>
        <v>6</v>
      </c>
      <c r="S118" s="636" t="s">
        <v>615</v>
      </c>
    </row>
    <row r="119" spans="2:19" ht="16">
      <c r="B119" s="623" t="s">
        <v>626</v>
      </c>
      <c r="C119" s="650">
        <f>C118*1.5</f>
        <v>4.875</v>
      </c>
      <c r="D119" s="651">
        <f t="shared" ref="D119:O119" si="98">D108*$C119</f>
        <v>0</v>
      </c>
      <c r="E119" s="651">
        <f t="shared" si="98"/>
        <v>0</v>
      </c>
      <c r="F119" s="651">
        <f t="shared" si="98"/>
        <v>0</v>
      </c>
      <c r="G119" s="651">
        <f t="shared" si="98"/>
        <v>0</v>
      </c>
      <c r="H119" s="651">
        <f t="shared" si="98"/>
        <v>0</v>
      </c>
      <c r="I119" s="651">
        <f t="shared" si="98"/>
        <v>0</v>
      </c>
      <c r="J119" s="651">
        <f t="shared" si="98"/>
        <v>0</v>
      </c>
      <c r="K119" s="651">
        <f t="shared" si="98"/>
        <v>0</v>
      </c>
      <c r="L119" s="651">
        <f t="shared" si="98"/>
        <v>0</v>
      </c>
      <c r="M119" s="651">
        <f t="shared" si="98"/>
        <v>0</v>
      </c>
      <c r="N119" s="651">
        <f t="shared" si="98"/>
        <v>0</v>
      </c>
      <c r="O119" s="651">
        <f t="shared" si="98"/>
        <v>0</v>
      </c>
      <c r="P119" s="694">
        <f t="shared" si="97"/>
        <v>0</v>
      </c>
      <c r="Q119" s="634" t="s">
        <v>617</v>
      </c>
      <c r="R119" s="14">
        <f>R114</f>
        <v>20</v>
      </c>
      <c r="S119" s="636"/>
    </row>
    <row r="120" spans="2:19" ht="16">
      <c r="B120" s="623" t="s">
        <v>627</v>
      </c>
      <c r="C120" s="650">
        <f>$V$7/R111</f>
        <v>2.5750000000000002</v>
      </c>
      <c r="D120" s="651">
        <f t="shared" ref="D120:O120" si="99">D109*$C120</f>
        <v>1236</v>
      </c>
      <c r="E120" s="651">
        <f t="shared" si="99"/>
        <v>1236</v>
      </c>
      <c r="F120" s="651">
        <f t="shared" si="99"/>
        <v>1236</v>
      </c>
      <c r="G120" s="651">
        <f t="shared" si="99"/>
        <v>2472</v>
      </c>
      <c r="H120" s="651">
        <f t="shared" si="99"/>
        <v>2472</v>
      </c>
      <c r="I120" s="651">
        <f t="shared" si="99"/>
        <v>2472</v>
      </c>
      <c r="J120" s="651">
        <f t="shared" si="99"/>
        <v>2472</v>
      </c>
      <c r="K120" s="651">
        <f t="shared" si="99"/>
        <v>2472</v>
      </c>
      <c r="L120" s="651">
        <f t="shared" si="99"/>
        <v>2472</v>
      </c>
      <c r="M120" s="651">
        <f t="shared" si="99"/>
        <v>2472</v>
      </c>
      <c r="N120" s="651">
        <f t="shared" si="99"/>
        <v>2472</v>
      </c>
      <c r="O120" s="651">
        <f t="shared" si="99"/>
        <v>2472</v>
      </c>
      <c r="P120" s="694">
        <f t="shared" si="97"/>
        <v>25956</v>
      </c>
      <c r="Q120" s="643" t="s">
        <v>629</v>
      </c>
      <c r="R120" s="8">
        <f>R118*R119*R111</f>
        <v>480</v>
      </c>
      <c r="S120" s="644" t="s">
        <v>620</v>
      </c>
    </row>
    <row r="121" spans="2:19" ht="16">
      <c r="B121" s="623" t="s">
        <v>628</v>
      </c>
      <c r="C121" s="652"/>
      <c r="D121" s="651">
        <f t="shared" ref="D121:O121" si="100">D110*$C121</f>
        <v>0</v>
      </c>
      <c r="E121" s="651">
        <f t="shared" si="100"/>
        <v>0</v>
      </c>
      <c r="F121" s="651">
        <f t="shared" si="100"/>
        <v>0</v>
      </c>
      <c r="G121" s="651">
        <f t="shared" si="100"/>
        <v>0</v>
      </c>
      <c r="H121" s="651">
        <f t="shared" si="100"/>
        <v>0</v>
      </c>
      <c r="I121" s="651">
        <f t="shared" si="100"/>
        <v>0</v>
      </c>
      <c r="J121" s="651">
        <f t="shared" si="100"/>
        <v>0</v>
      </c>
      <c r="K121" s="651">
        <f t="shared" si="100"/>
        <v>0</v>
      </c>
      <c r="L121" s="651">
        <f t="shared" si="100"/>
        <v>0</v>
      </c>
      <c r="M121" s="651">
        <f t="shared" si="100"/>
        <v>0</v>
      </c>
      <c r="N121" s="651">
        <f t="shared" si="100"/>
        <v>0</v>
      </c>
      <c r="O121" s="651">
        <f t="shared" si="100"/>
        <v>0</v>
      </c>
      <c r="P121" s="694">
        <f t="shared" si="97"/>
        <v>0</v>
      </c>
      <c r="Q121" s="648" t="s">
        <v>631</v>
      </c>
      <c r="R121" s="649">
        <f>R117*R120</f>
        <v>960</v>
      </c>
      <c r="S121" s="654" t="s">
        <v>623</v>
      </c>
    </row>
    <row r="122" spans="2:19" ht="16">
      <c r="B122" s="623" t="s">
        <v>630</v>
      </c>
      <c r="C122" s="650">
        <f>C46</f>
        <v>0.32500000000000001</v>
      </c>
      <c r="D122" s="651">
        <f t="shared" ref="D122:O122" si="101">D115*$C122</f>
        <v>795.84152075637473</v>
      </c>
      <c r="E122" s="651">
        <f t="shared" si="101"/>
        <v>1083.9096602720444</v>
      </c>
      <c r="F122" s="651">
        <f t="shared" si="101"/>
        <v>1317.9810968610529</v>
      </c>
      <c r="G122" s="651">
        <f t="shared" si="101"/>
        <v>1558.0569295478469</v>
      </c>
      <c r="H122" s="651">
        <f t="shared" si="101"/>
        <v>1948.1283661368554</v>
      </c>
      <c r="I122" s="651">
        <f t="shared" si="101"/>
        <v>2230.206396872542</v>
      </c>
      <c r="J122" s="651">
        <f t="shared" si="101"/>
        <v>2422.2899227304597</v>
      </c>
      <c r="K122" s="651">
        <f t="shared" si="101"/>
        <v>2578.3756466372697</v>
      </c>
      <c r="L122" s="651">
        <f t="shared" si="101"/>
        <v>2752.4602715196334</v>
      </c>
      <c r="M122" s="651">
        <f t="shared" si="101"/>
        <v>2872.5481934753366</v>
      </c>
      <c r="N122" s="651">
        <f t="shared" si="101"/>
        <v>2434.6701851888747</v>
      </c>
      <c r="O122" s="651">
        <f t="shared" si="101"/>
        <v>1456.8251476358014</v>
      </c>
      <c r="P122" s="694">
        <f t="shared" si="97"/>
        <v>23451.293337634095</v>
      </c>
      <c r="Q122" s="3"/>
      <c r="R122" s="3"/>
      <c r="S122" s="3"/>
    </row>
    <row r="123" spans="2:19" ht="16">
      <c r="B123" s="656" t="s">
        <v>632</v>
      </c>
      <c r="C123" s="657"/>
      <c r="D123" s="658">
        <f t="shared" ref="D123:O123" si="102">D116*$C123</f>
        <v>0</v>
      </c>
      <c r="E123" s="658">
        <f t="shared" si="102"/>
        <v>0</v>
      </c>
      <c r="F123" s="658">
        <f t="shared" si="102"/>
        <v>0</v>
      </c>
      <c r="G123" s="658">
        <f t="shared" si="102"/>
        <v>0</v>
      </c>
      <c r="H123" s="658">
        <f t="shared" si="102"/>
        <v>0</v>
      </c>
      <c r="I123" s="658">
        <f t="shared" si="102"/>
        <v>0</v>
      </c>
      <c r="J123" s="658">
        <f t="shared" si="102"/>
        <v>0</v>
      </c>
      <c r="K123" s="658">
        <f t="shared" si="102"/>
        <v>0</v>
      </c>
      <c r="L123" s="658">
        <f t="shared" si="102"/>
        <v>0</v>
      </c>
      <c r="M123" s="658">
        <f t="shared" si="102"/>
        <v>0</v>
      </c>
      <c r="N123" s="658">
        <f t="shared" si="102"/>
        <v>0</v>
      </c>
      <c r="O123" s="658">
        <f t="shared" si="102"/>
        <v>0</v>
      </c>
      <c r="P123" s="695">
        <f t="shared" si="97"/>
        <v>0</v>
      </c>
      <c r="Q123" s="3"/>
      <c r="R123" s="3"/>
      <c r="S123" s="3"/>
    </row>
    <row r="124" spans="2:19" ht="16">
      <c r="B124" s="639" t="s">
        <v>381</v>
      </c>
      <c r="C124" s="640"/>
      <c r="D124" s="658">
        <f t="shared" ref="D124:P124" si="103">SUM(D118:D123)</f>
        <v>14511.841520756374</v>
      </c>
      <c r="E124" s="658">
        <f t="shared" si="103"/>
        <v>14799.909660272044</v>
      </c>
      <c r="F124" s="658">
        <f t="shared" si="103"/>
        <v>15033.981096861053</v>
      </c>
      <c r="G124" s="658">
        <f t="shared" si="103"/>
        <v>16510.056929547845</v>
      </c>
      <c r="H124" s="658">
        <f t="shared" si="103"/>
        <v>16900.128366136854</v>
      </c>
      <c r="I124" s="658">
        <f t="shared" si="103"/>
        <v>17182.206396872542</v>
      </c>
      <c r="J124" s="658">
        <f t="shared" si="103"/>
        <v>17374.289922730459</v>
      </c>
      <c r="K124" s="658">
        <f t="shared" si="103"/>
        <v>17530.375646637269</v>
      </c>
      <c r="L124" s="658">
        <f t="shared" si="103"/>
        <v>17704.460271519634</v>
      </c>
      <c r="M124" s="658">
        <f t="shared" si="103"/>
        <v>17824.548193475337</v>
      </c>
      <c r="N124" s="658">
        <f t="shared" si="103"/>
        <v>17386.670185188876</v>
      </c>
      <c r="O124" s="658">
        <f t="shared" si="103"/>
        <v>16408.825147635802</v>
      </c>
      <c r="P124" s="696">
        <f t="shared" si="103"/>
        <v>199167.2933376341</v>
      </c>
      <c r="Q124" s="3"/>
      <c r="R124" s="3"/>
      <c r="S124" s="3"/>
    </row>
    <row r="125" spans="2:19" ht="16">
      <c r="B125" s="2050" t="s">
        <v>633</v>
      </c>
      <c r="C125" s="1999"/>
      <c r="D125" s="661">
        <v>1</v>
      </c>
      <c r="E125" s="661">
        <v>1</v>
      </c>
      <c r="F125" s="661">
        <v>1</v>
      </c>
      <c r="G125" s="661">
        <v>2</v>
      </c>
      <c r="H125" s="661">
        <v>2</v>
      </c>
      <c r="I125" s="661">
        <v>2</v>
      </c>
      <c r="J125" s="661">
        <v>2</v>
      </c>
      <c r="K125" s="661">
        <v>2</v>
      </c>
      <c r="L125" s="661">
        <v>2</v>
      </c>
      <c r="M125" s="661">
        <v>2</v>
      </c>
      <c r="N125" s="661">
        <v>2</v>
      </c>
      <c r="O125" s="662">
        <v>2</v>
      </c>
      <c r="P125" s="3"/>
      <c r="Q125" s="3"/>
      <c r="R125" s="3"/>
      <c r="S125" s="3"/>
    </row>
    <row r="126" spans="2:19" ht="16">
      <c r="B126" s="3"/>
      <c r="C126" s="3"/>
      <c r="D126" s="3"/>
      <c r="E126" s="3"/>
      <c r="F126" s="3"/>
      <c r="G126" s="3"/>
      <c r="H126" s="3"/>
      <c r="I126" s="3"/>
      <c r="J126" s="3"/>
      <c r="K126" s="3"/>
      <c r="L126" s="3"/>
      <c r="M126" s="3"/>
      <c r="N126" s="3"/>
      <c r="O126" s="3"/>
      <c r="P126" s="3"/>
      <c r="Q126" s="3"/>
      <c r="R126" s="3"/>
      <c r="S126" s="3"/>
    </row>
    <row r="127" spans="2:19" ht="18" thickTop="1" thickBot="1">
      <c r="B127" s="665"/>
      <c r="C127" s="3"/>
      <c r="D127" s="666">
        <f t="shared" ref="D127:O127" si="104">D130*D128</f>
        <v>348.38703293535434</v>
      </c>
      <c r="E127" s="667">
        <f t="shared" si="104"/>
        <v>207.32583429377416</v>
      </c>
      <c r="F127" s="667">
        <f t="shared" si="104"/>
        <v>410.67010249685859</v>
      </c>
      <c r="G127" s="667">
        <f t="shared" si="104"/>
        <v>273.30607236806162</v>
      </c>
      <c r="H127" s="667">
        <f t="shared" si="104"/>
        <v>328.76360005981201</v>
      </c>
      <c r="I127" s="667">
        <f t="shared" si="104"/>
        <v>389.34028415387758</v>
      </c>
      <c r="J127" s="667">
        <f t="shared" si="104"/>
        <v>432.56871599565227</v>
      </c>
      <c r="K127" s="667">
        <f t="shared" si="104"/>
        <v>432.56871599565227</v>
      </c>
      <c r="L127" s="667">
        <f t="shared" si="104"/>
        <v>410.67010249685859</v>
      </c>
      <c r="M127" s="667">
        <f t="shared" si="104"/>
        <v>501.67732742691021</v>
      </c>
      <c r="N127" s="667">
        <f t="shared" si="104"/>
        <v>1354.0168684124262</v>
      </c>
      <c r="O127" s="667">
        <f t="shared" si="104"/>
        <v>1474.3170438668383</v>
      </c>
      <c r="P127" s="669">
        <f t="shared" ref="P127:P128" si="105">SUM(D127:O127)</f>
        <v>6563.611700502076</v>
      </c>
      <c r="Q127" s="3"/>
      <c r="R127" s="3"/>
      <c r="S127" s="3"/>
    </row>
    <row r="128" spans="2:19" ht="53" thickTop="1" thickBot="1">
      <c r="B128" s="1060" t="s">
        <v>644</v>
      </c>
      <c r="C128" s="828" t="s">
        <v>586</v>
      </c>
      <c r="D128" s="670">
        <f t="shared" ref="D128:O128" si="106">D27</f>
        <v>6.9860279441117765E-2</v>
      </c>
      <c r="E128" s="670">
        <f t="shared" si="106"/>
        <v>5.3892215568862277E-2</v>
      </c>
      <c r="F128" s="670">
        <f t="shared" si="106"/>
        <v>7.5848303393213579E-2</v>
      </c>
      <c r="G128" s="670">
        <f t="shared" si="106"/>
        <v>6.1876247504990017E-2</v>
      </c>
      <c r="H128" s="670">
        <f t="shared" si="106"/>
        <v>6.7864271457085831E-2</v>
      </c>
      <c r="I128" s="670">
        <f t="shared" si="106"/>
        <v>7.3852295409181631E-2</v>
      </c>
      <c r="J128" s="670">
        <f t="shared" si="106"/>
        <v>7.7844311377245512E-2</v>
      </c>
      <c r="K128" s="670">
        <f t="shared" si="106"/>
        <v>7.7844311377245512E-2</v>
      </c>
      <c r="L128" s="670">
        <f t="shared" si="106"/>
        <v>7.5848303393213579E-2</v>
      </c>
      <c r="M128" s="670">
        <f t="shared" si="106"/>
        <v>8.3832335329341312E-2</v>
      </c>
      <c r="N128" s="670">
        <f t="shared" si="106"/>
        <v>0.1377245508982036</v>
      </c>
      <c r="O128" s="670">
        <f t="shared" si="106"/>
        <v>0.1437125748502994</v>
      </c>
      <c r="P128" s="664">
        <f t="shared" si="105"/>
        <v>1</v>
      </c>
      <c r="Q128" s="3"/>
      <c r="R128" s="3"/>
      <c r="S128" s="3"/>
    </row>
    <row r="129" spans="2:19" ht="18" thickTop="1" thickBot="1">
      <c r="B129" s="639" t="s">
        <v>590</v>
      </c>
      <c r="C129" s="611"/>
      <c r="D129" s="612">
        <v>1</v>
      </c>
      <c r="E129" s="612">
        <v>2</v>
      </c>
      <c r="F129" s="612">
        <v>3</v>
      </c>
      <c r="G129" s="612">
        <v>4</v>
      </c>
      <c r="H129" s="612">
        <v>5</v>
      </c>
      <c r="I129" s="612">
        <v>6</v>
      </c>
      <c r="J129" s="612">
        <v>7</v>
      </c>
      <c r="K129" s="612">
        <v>8</v>
      </c>
      <c r="L129" s="612">
        <v>9</v>
      </c>
      <c r="M129" s="612">
        <v>10</v>
      </c>
      <c r="N129" s="612">
        <v>11</v>
      </c>
      <c r="O129" s="612">
        <v>12</v>
      </c>
      <c r="P129" s="688" t="s">
        <v>849</v>
      </c>
      <c r="Q129" s="3"/>
      <c r="R129" s="3"/>
      <c r="S129" s="3"/>
    </row>
    <row r="130" spans="2:19" ht="17" thickTop="1">
      <c r="B130" s="617" t="s">
        <v>592</v>
      </c>
      <c r="C130" s="618"/>
      <c r="D130" s="619">
        <f t="shared" ref="D130:O130" si="107">D128*$P$130</f>
        <v>4986.9115285889293</v>
      </c>
      <c r="E130" s="619">
        <f t="shared" si="107"/>
        <v>3847.0460363400316</v>
      </c>
      <c r="F130" s="619">
        <f t="shared" si="107"/>
        <v>5414.3610881822669</v>
      </c>
      <c r="G130" s="619">
        <f t="shared" si="107"/>
        <v>4416.97878246448</v>
      </c>
      <c r="H130" s="619">
        <f t="shared" si="107"/>
        <v>4844.4283420578176</v>
      </c>
      <c r="I130" s="619">
        <f t="shared" si="107"/>
        <v>5271.8779016511535</v>
      </c>
      <c r="J130" s="619">
        <f t="shared" si="107"/>
        <v>5556.8442747133786</v>
      </c>
      <c r="K130" s="619">
        <f t="shared" si="107"/>
        <v>5556.8442747133786</v>
      </c>
      <c r="L130" s="619">
        <f t="shared" si="107"/>
        <v>5414.3610881822669</v>
      </c>
      <c r="M130" s="619">
        <f t="shared" si="107"/>
        <v>5984.2938343067153</v>
      </c>
      <c r="N130" s="619">
        <f t="shared" si="107"/>
        <v>9831.3398706467469</v>
      </c>
      <c r="O130" s="619">
        <f t="shared" si="107"/>
        <v>10258.789430240084</v>
      </c>
      <c r="P130" s="624">
        <f>'MK Bases Model (Base Case)'!F16</f>
        <v>71384.076452087247</v>
      </c>
      <c r="Q130" s="3"/>
      <c r="R130" s="3"/>
      <c r="S130" s="3"/>
    </row>
    <row r="131" spans="2:19" ht="16">
      <c r="B131" s="617" t="s">
        <v>594</v>
      </c>
      <c r="C131" s="618"/>
      <c r="D131" s="621"/>
      <c r="E131" s="621"/>
      <c r="F131" s="621"/>
      <c r="G131" s="621"/>
      <c r="H131" s="621"/>
      <c r="I131" s="621"/>
      <c r="J131" s="621"/>
      <c r="K131" s="621"/>
      <c r="L131" s="621"/>
      <c r="M131" s="621"/>
      <c r="N131" s="621"/>
      <c r="O131" s="621"/>
      <c r="P131" s="624"/>
      <c r="Q131" s="3"/>
      <c r="R131" s="3"/>
      <c r="S131" s="3"/>
    </row>
    <row r="132" spans="2:19" ht="16">
      <c r="B132" s="623" t="s">
        <v>596</v>
      </c>
      <c r="C132" s="618"/>
      <c r="D132" s="619">
        <f t="shared" ref="D132:O132" si="108">$R$141</f>
        <v>4480</v>
      </c>
      <c r="E132" s="619">
        <f t="shared" si="108"/>
        <v>4480</v>
      </c>
      <c r="F132" s="619">
        <f t="shared" si="108"/>
        <v>4480</v>
      </c>
      <c r="G132" s="619">
        <f t="shared" si="108"/>
        <v>4480</v>
      </c>
      <c r="H132" s="619">
        <f t="shared" si="108"/>
        <v>4480</v>
      </c>
      <c r="I132" s="619">
        <f t="shared" si="108"/>
        <v>4480</v>
      </c>
      <c r="J132" s="619">
        <f t="shared" si="108"/>
        <v>4480</v>
      </c>
      <c r="K132" s="619">
        <f t="shared" si="108"/>
        <v>4480</v>
      </c>
      <c r="L132" s="619">
        <f t="shared" si="108"/>
        <v>4480</v>
      </c>
      <c r="M132" s="619">
        <f t="shared" si="108"/>
        <v>4480</v>
      </c>
      <c r="N132" s="619">
        <f t="shared" si="108"/>
        <v>4480</v>
      </c>
      <c r="O132" s="619">
        <f t="shared" si="108"/>
        <v>4480</v>
      </c>
      <c r="P132" s="624">
        <f>SUM(D132:O132)*AA12</f>
        <v>52684.799999999996</v>
      </c>
      <c r="Q132" s="3"/>
      <c r="R132" s="3"/>
      <c r="S132" s="3"/>
    </row>
    <row r="133" spans="2:19" ht="16">
      <c r="B133" s="617" t="s">
        <v>599</v>
      </c>
      <c r="C133" s="618"/>
      <c r="D133" s="619">
        <f t="shared" ref="D133:O133" si="109">0</f>
        <v>0</v>
      </c>
      <c r="E133" s="619">
        <f t="shared" si="109"/>
        <v>0</v>
      </c>
      <c r="F133" s="619">
        <f t="shared" si="109"/>
        <v>0</v>
      </c>
      <c r="G133" s="619">
        <f t="shared" si="109"/>
        <v>0</v>
      </c>
      <c r="H133" s="619">
        <f t="shared" si="109"/>
        <v>0</v>
      </c>
      <c r="I133" s="619">
        <f t="shared" si="109"/>
        <v>0</v>
      </c>
      <c r="J133" s="619">
        <f t="shared" si="109"/>
        <v>0</v>
      </c>
      <c r="K133" s="619">
        <f t="shared" si="109"/>
        <v>0</v>
      </c>
      <c r="L133" s="619">
        <f t="shared" si="109"/>
        <v>0</v>
      </c>
      <c r="M133" s="619">
        <f t="shared" si="109"/>
        <v>0</v>
      </c>
      <c r="N133" s="619">
        <f t="shared" si="109"/>
        <v>0</v>
      </c>
      <c r="O133" s="619">
        <f t="shared" si="109"/>
        <v>0</v>
      </c>
      <c r="P133" s="624">
        <f>SUM(D133:O133)*AA12</f>
        <v>0</v>
      </c>
      <c r="Q133" s="3"/>
      <c r="R133" s="3"/>
      <c r="S133" s="3"/>
    </row>
    <row r="134" spans="2:19" ht="16">
      <c r="B134" s="617" t="s">
        <v>601</v>
      </c>
      <c r="C134" s="618"/>
      <c r="D134" s="621">
        <f t="shared" ref="D134:O134" si="110">$R$145*D151</f>
        <v>1440</v>
      </c>
      <c r="E134" s="621">
        <f t="shared" si="110"/>
        <v>1440</v>
      </c>
      <c r="F134" s="621">
        <f t="shared" si="110"/>
        <v>1440</v>
      </c>
      <c r="G134" s="621">
        <f t="shared" si="110"/>
        <v>1440</v>
      </c>
      <c r="H134" s="621">
        <f t="shared" si="110"/>
        <v>1440</v>
      </c>
      <c r="I134" s="621">
        <f t="shared" si="110"/>
        <v>1440</v>
      </c>
      <c r="J134" s="621">
        <f t="shared" si="110"/>
        <v>1440</v>
      </c>
      <c r="K134" s="621">
        <f t="shared" si="110"/>
        <v>1440</v>
      </c>
      <c r="L134" s="621">
        <f t="shared" si="110"/>
        <v>1440</v>
      </c>
      <c r="M134" s="621">
        <f t="shared" si="110"/>
        <v>1440</v>
      </c>
      <c r="N134" s="621">
        <f t="shared" si="110"/>
        <v>1440</v>
      </c>
      <c r="O134" s="621">
        <f t="shared" si="110"/>
        <v>1440</v>
      </c>
      <c r="P134" s="624">
        <f>SUM(D134:O134)*AA12</f>
        <v>16934.400000000001</v>
      </c>
      <c r="Q134" s="3"/>
      <c r="R134" s="3"/>
      <c r="S134" s="3"/>
    </row>
    <row r="135" spans="2:19" ht="16">
      <c r="B135" s="617" t="s">
        <v>602</v>
      </c>
      <c r="C135" s="618"/>
      <c r="D135" s="621"/>
      <c r="E135" s="621"/>
      <c r="F135" s="621"/>
      <c r="G135" s="621"/>
      <c r="H135" s="621"/>
      <c r="I135" s="621"/>
      <c r="J135" s="621"/>
      <c r="K135" s="621"/>
      <c r="L135" s="621"/>
      <c r="M135" s="621"/>
      <c r="N135" s="621"/>
      <c r="O135" s="621"/>
      <c r="P135" s="675">
        <f>SUM(D135:O135)*AA12</f>
        <v>0</v>
      </c>
      <c r="Q135" s="2051" t="s">
        <v>645</v>
      </c>
      <c r="R135" s="2052"/>
      <c r="S135" s="2053"/>
    </row>
    <row r="136" spans="2:19" ht="16">
      <c r="B136" s="623" t="s">
        <v>603</v>
      </c>
      <c r="C136" s="618"/>
      <c r="D136" s="621">
        <f t="shared" ref="D136:O136" si="111">SUM(D132:D135)-D130</f>
        <v>933.08847141107071</v>
      </c>
      <c r="E136" s="621">
        <f t="shared" si="111"/>
        <v>2072.9539636599684</v>
      </c>
      <c r="F136" s="621">
        <f t="shared" si="111"/>
        <v>505.63891181773306</v>
      </c>
      <c r="G136" s="621">
        <f t="shared" si="111"/>
        <v>1503.02121753552</v>
      </c>
      <c r="H136" s="621">
        <f t="shared" si="111"/>
        <v>1075.5716579421824</v>
      </c>
      <c r="I136" s="621">
        <f t="shared" si="111"/>
        <v>648.12209834884652</v>
      </c>
      <c r="J136" s="621">
        <f t="shared" si="111"/>
        <v>363.15572528662142</v>
      </c>
      <c r="K136" s="621">
        <f t="shared" si="111"/>
        <v>363.15572528662142</v>
      </c>
      <c r="L136" s="621">
        <f t="shared" si="111"/>
        <v>505.63891181773306</v>
      </c>
      <c r="M136" s="621">
        <f t="shared" si="111"/>
        <v>-64.293834306715326</v>
      </c>
      <c r="N136" s="621">
        <f t="shared" si="111"/>
        <v>-3911.3398706467469</v>
      </c>
      <c r="O136" s="621">
        <f t="shared" si="111"/>
        <v>-4338.7894302400837</v>
      </c>
      <c r="P136" s="624">
        <f>SUM(D136:O136)*AA12</f>
        <v>-337.19492304550397</v>
      </c>
      <c r="Q136" s="629" t="s">
        <v>606</v>
      </c>
      <c r="R136" s="836">
        <f>V3</f>
        <v>4</v>
      </c>
      <c r="S136" s="630" t="s">
        <v>607</v>
      </c>
    </row>
    <row r="137" spans="2:19" ht="16">
      <c r="B137" s="617" t="s">
        <v>605</v>
      </c>
      <c r="C137" s="618"/>
      <c r="D137" s="621"/>
      <c r="E137" s="621"/>
      <c r="F137" s="621"/>
      <c r="G137" s="621"/>
      <c r="H137" s="621"/>
      <c r="I137" s="621"/>
      <c r="J137" s="621"/>
      <c r="K137" s="621"/>
      <c r="L137" s="621"/>
      <c r="M137" s="621"/>
      <c r="N137" s="621"/>
      <c r="O137" s="621"/>
      <c r="P137" s="624"/>
      <c r="Q137" s="14" t="s">
        <v>610</v>
      </c>
      <c r="R137" s="635">
        <v>7</v>
      </c>
      <c r="S137" s="636" t="s">
        <v>611</v>
      </c>
    </row>
    <row r="138" spans="2:19" ht="16">
      <c r="B138" s="617" t="s">
        <v>609</v>
      </c>
      <c r="C138" s="618"/>
      <c r="D138" s="621">
        <f t="shared" ref="D138:O138" si="112">C139</f>
        <v>2808.2373817663261</v>
      </c>
      <c r="E138" s="621">
        <f t="shared" si="112"/>
        <v>3741.3258531773968</v>
      </c>
      <c r="F138" s="621">
        <f t="shared" si="112"/>
        <v>5814.2798168373647</v>
      </c>
      <c r="G138" s="621">
        <f t="shared" si="112"/>
        <v>6319.9187286550978</v>
      </c>
      <c r="H138" s="621">
        <f t="shared" si="112"/>
        <v>7822.9399461906178</v>
      </c>
      <c r="I138" s="621">
        <f t="shared" si="112"/>
        <v>8898.5116041328001</v>
      </c>
      <c r="J138" s="621">
        <f t="shared" si="112"/>
        <v>9546.6337024816457</v>
      </c>
      <c r="K138" s="621">
        <f t="shared" si="112"/>
        <v>9909.7894277682681</v>
      </c>
      <c r="L138" s="621">
        <f t="shared" si="112"/>
        <v>10272.94515305489</v>
      </c>
      <c r="M138" s="621">
        <f t="shared" si="112"/>
        <v>10778.584064872623</v>
      </c>
      <c r="N138" s="621">
        <f t="shared" si="112"/>
        <v>10714.290230565908</v>
      </c>
      <c r="O138" s="621">
        <f t="shared" si="112"/>
        <v>6802.9503599191612</v>
      </c>
      <c r="P138" s="624"/>
      <c r="Q138" s="14" t="s">
        <v>614</v>
      </c>
      <c r="R138" s="677">
        <f t="shared" ref="R138:R139" si="113">R38</f>
        <v>8</v>
      </c>
      <c r="S138" s="636" t="s">
        <v>615</v>
      </c>
    </row>
    <row r="139" spans="2:19" ht="16">
      <c r="B139" s="617" t="s">
        <v>613</v>
      </c>
      <c r="C139" s="620">
        <f>P114</f>
        <v>2808.2373817663261</v>
      </c>
      <c r="D139" s="621">
        <f t="shared" ref="D139:O139" si="114">MAX(D138+D136-C141,0)</f>
        <v>3741.3258531773968</v>
      </c>
      <c r="E139" s="621">
        <f t="shared" si="114"/>
        <v>5814.2798168373647</v>
      </c>
      <c r="F139" s="621">
        <f t="shared" si="114"/>
        <v>6319.9187286550978</v>
      </c>
      <c r="G139" s="621">
        <f t="shared" si="114"/>
        <v>7822.9399461906178</v>
      </c>
      <c r="H139" s="621">
        <f t="shared" si="114"/>
        <v>8898.5116041328001</v>
      </c>
      <c r="I139" s="621">
        <f t="shared" si="114"/>
        <v>9546.6337024816457</v>
      </c>
      <c r="J139" s="621">
        <f t="shared" si="114"/>
        <v>9909.7894277682681</v>
      </c>
      <c r="K139" s="621">
        <f t="shared" si="114"/>
        <v>10272.94515305489</v>
      </c>
      <c r="L139" s="621">
        <f t="shared" si="114"/>
        <v>10778.584064872623</v>
      </c>
      <c r="M139" s="621">
        <f t="shared" si="114"/>
        <v>10714.290230565908</v>
      </c>
      <c r="N139" s="621">
        <f t="shared" si="114"/>
        <v>6802.9503599191612</v>
      </c>
      <c r="O139" s="621">
        <f t="shared" si="114"/>
        <v>2464.1609296790775</v>
      </c>
      <c r="P139" s="624">
        <f>O139*AA12</f>
        <v>2414.8777110854958</v>
      </c>
      <c r="Q139" s="634" t="s">
        <v>617</v>
      </c>
      <c r="R139" s="14">
        <f t="shared" si="113"/>
        <v>20</v>
      </c>
      <c r="S139" s="636"/>
    </row>
    <row r="140" spans="2:19" ht="16">
      <c r="B140" s="617" t="s">
        <v>616</v>
      </c>
      <c r="C140" s="618"/>
      <c r="D140" s="621">
        <f t="shared" ref="D140:O140" si="115">(D138+D139)/2</f>
        <v>3274.7816174718614</v>
      </c>
      <c r="E140" s="621">
        <f t="shared" si="115"/>
        <v>4777.802835007381</v>
      </c>
      <c r="F140" s="621">
        <f t="shared" si="115"/>
        <v>6067.0992727462308</v>
      </c>
      <c r="G140" s="621">
        <f t="shared" si="115"/>
        <v>7071.4293374228582</v>
      </c>
      <c r="H140" s="621">
        <f t="shared" si="115"/>
        <v>8360.725775161709</v>
      </c>
      <c r="I140" s="621">
        <f t="shared" si="115"/>
        <v>9222.5726533072229</v>
      </c>
      <c r="J140" s="621">
        <f t="shared" si="115"/>
        <v>9728.2115651249569</v>
      </c>
      <c r="K140" s="621">
        <f t="shared" si="115"/>
        <v>10091.367290411579</v>
      </c>
      <c r="L140" s="621">
        <f t="shared" si="115"/>
        <v>10525.764608963756</v>
      </c>
      <c r="M140" s="621">
        <f t="shared" si="115"/>
        <v>10746.437147719265</v>
      </c>
      <c r="N140" s="621">
        <f t="shared" si="115"/>
        <v>8758.6202952425338</v>
      </c>
      <c r="O140" s="621">
        <f t="shared" si="115"/>
        <v>4633.5556447991194</v>
      </c>
      <c r="P140" s="624">
        <f>AVERAGE(D140:O140)*AA12</f>
        <v>7616.10005687591</v>
      </c>
      <c r="Q140" s="643" t="s">
        <v>619</v>
      </c>
      <c r="R140" s="8">
        <f>R136*R138*R139</f>
        <v>640</v>
      </c>
      <c r="S140" s="644" t="s">
        <v>620</v>
      </c>
    </row>
    <row r="141" spans="2:19" ht="16">
      <c r="B141" s="639" t="s">
        <v>618</v>
      </c>
      <c r="C141" s="640"/>
      <c r="D141" s="641">
        <f t="shared" ref="D141:O141" si="116">MAX(C141-D136-D138,0)</f>
        <v>0</v>
      </c>
      <c r="E141" s="641">
        <f t="shared" si="116"/>
        <v>0</v>
      </c>
      <c r="F141" s="641">
        <f t="shared" si="116"/>
        <v>0</v>
      </c>
      <c r="G141" s="641">
        <f t="shared" si="116"/>
        <v>0</v>
      </c>
      <c r="H141" s="641">
        <f t="shared" si="116"/>
        <v>0</v>
      </c>
      <c r="I141" s="641">
        <f t="shared" si="116"/>
        <v>0</v>
      </c>
      <c r="J141" s="641">
        <f t="shared" si="116"/>
        <v>0</v>
      </c>
      <c r="K141" s="641">
        <f t="shared" si="116"/>
        <v>0</v>
      </c>
      <c r="L141" s="641">
        <f t="shared" si="116"/>
        <v>0</v>
      </c>
      <c r="M141" s="641">
        <f t="shared" si="116"/>
        <v>0</v>
      </c>
      <c r="N141" s="641">
        <f t="shared" si="116"/>
        <v>0</v>
      </c>
      <c r="O141" s="641">
        <f t="shared" si="116"/>
        <v>0</v>
      </c>
      <c r="P141" s="692">
        <f>SUM(D141:O141)</f>
        <v>0</v>
      </c>
      <c r="Q141" s="648" t="s">
        <v>622</v>
      </c>
      <c r="R141" s="649">
        <f>R140*R137</f>
        <v>4480</v>
      </c>
      <c r="S141" s="636" t="s">
        <v>623</v>
      </c>
    </row>
    <row r="142" spans="2:19" ht="16">
      <c r="B142" s="623" t="s">
        <v>636</v>
      </c>
      <c r="C142" s="618"/>
      <c r="D142" s="646"/>
      <c r="E142" s="646"/>
      <c r="F142" s="646"/>
      <c r="G142" s="646"/>
      <c r="H142" s="646"/>
      <c r="I142" s="646"/>
      <c r="J142" s="646"/>
      <c r="K142" s="646"/>
      <c r="L142" s="646"/>
      <c r="M142" s="646"/>
      <c r="N142" s="646"/>
      <c r="O142" s="646"/>
      <c r="P142" s="693"/>
      <c r="Q142" s="14" t="s">
        <v>625</v>
      </c>
      <c r="R142" s="14">
        <f>MAX(D151:O151)</f>
        <v>3</v>
      </c>
      <c r="S142" s="653" t="s">
        <v>611</v>
      </c>
    </row>
    <row r="143" spans="2:19" ht="16">
      <c r="B143" s="623" t="s">
        <v>624</v>
      </c>
      <c r="C143" s="650">
        <f>$V$4/R136</f>
        <v>3.25</v>
      </c>
      <c r="D143" s="651">
        <f t="shared" ref="D143:O143" si="117">D132*$C143</f>
        <v>14560</v>
      </c>
      <c r="E143" s="651">
        <f t="shared" si="117"/>
        <v>14560</v>
      </c>
      <c r="F143" s="651">
        <f t="shared" si="117"/>
        <v>14560</v>
      </c>
      <c r="G143" s="651">
        <f t="shared" si="117"/>
        <v>14560</v>
      </c>
      <c r="H143" s="651">
        <f t="shared" si="117"/>
        <v>14560</v>
      </c>
      <c r="I143" s="651">
        <f t="shared" si="117"/>
        <v>14560</v>
      </c>
      <c r="J143" s="651">
        <f t="shared" si="117"/>
        <v>14560</v>
      </c>
      <c r="K143" s="651">
        <f t="shared" si="117"/>
        <v>14560</v>
      </c>
      <c r="L143" s="651">
        <f t="shared" si="117"/>
        <v>14560</v>
      </c>
      <c r="M143" s="651">
        <f t="shared" si="117"/>
        <v>14560</v>
      </c>
      <c r="N143" s="651">
        <f t="shared" si="117"/>
        <v>14560</v>
      </c>
      <c r="O143" s="651">
        <f t="shared" si="117"/>
        <v>14560</v>
      </c>
      <c r="P143" s="694">
        <f t="shared" ref="P143:P149" si="118">SUM(D143:O143)</f>
        <v>174720</v>
      </c>
      <c r="Q143" s="14" t="s">
        <v>614</v>
      </c>
      <c r="R143" s="677">
        <f>R43</f>
        <v>6</v>
      </c>
      <c r="S143" s="636" t="s">
        <v>615</v>
      </c>
    </row>
    <row r="144" spans="2:19" ht="16">
      <c r="B144" s="623" t="s">
        <v>626</v>
      </c>
      <c r="C144" s="650">
        <f>C143*1.5</f>
        <v>4.875</v>
      </c>
      <c r="D144" s="651">
        <f t="shared" ref="D144:O144" si="119">D133*$C144</f>
        <v>0</v>
      </c>
      <c r="E144" s="651">
        <f t="shared" si="119"/>
        <v>0</v>
      </c>
      <c r="F144" s="651">
        <f t="shared" si="119"/>
        <v>0</v>
      </c>
      <c r="G144" s="651">
        <f t="shared" si="119"/>
        <v>0</v>
      </c>
      <c r="H144" s="651">
        <f t="shared" si="119"/>
        <v>0</v>
      </c>
      <c r="I144" s="651">
        <f t="shared" si="119"/>
        <v>0</v>
      </c>
      <c r="J144" s="651">
        <f t="shared" si="119"/>
        <v>0</v>
      </c>
      <c r="K144" s="651">
        <f t="shared" si="119"/>
        <v>0</v>
      </c>
      <c r="L144" s="651">
        <f t="shared" si="119"/>
        <v>0</v>
      </c>
      <c r="M144" s="651">
        <f t="shared" si="119"/>
        <v>0</v>
      </c>
      <c r="N144" s="651">
        <f t="shared" si="119"/>
        <v>0</v>
      </c>
      <c r="O144" s="651">
        <f t="shared" si="119"/>
        <v>0</v>
      </c>
      <c r="P144" s="694">
        <f t="shared" si="118"/>
        <v>0</v>
      </c>
      <c r="Q144" s="634" t="s">
        <v>617</v>
      </c>
      <c r="R144" s="14">
        <f>R139</f>
        <v>20</v>
      </c>
      <c r="S144" s="636"/>
    </row>
    <row r="145" spans="2:19" ht="16">
      <c r="B145" s="623" t="s">
        <v>627</v>
      </c>
      <c r="C145" s="650">
        <f>$V$7/R136</f>
        <v>2.5750000000000002</v>
      </c>
      <c r="D145" s="651">
        <f t="shared" ref="D145:O145" si="120">D134*$C145</f>
        <v>3708.0000000000005</v>
      </c>
      <c r="E145" s="651">
        <f t="shared" si="120"/>
        <v>3708.0000000000005</v>
      </c>
      <c r="F145" s="651">
        <f t="shared" si="120"/>
        <v>3708.0000000000005</v>
      </c>
      <c r="G145" s="651">
        <f t="shared" si="120"/>
        <v>3708.0000000000005</v>
      </c>
      <c r="H145" s="651">
        <f t="shared" si="120"/>
        <v>3708.0000000000005</v>
      </c>
      <c r="I145" s="651">
        <f t="shared" si="120"/>
        <v>3708.0000000000005</v>
      </c>
      <c r="J145" s="651">
        <f t="shared" si="120"/>
        <v>3708.0000000000005</v>
      </c>
      <c r="K145" s="651">
        <f t="shared" si="120"/>
        <v>3708.0000000000005</v>
      </c>
      <c r="L145" s="651">
        <f t="shared" si="120"/>
        <v>3708.0000000000005</v>
      </c>
      <c r="M145" s="651">
        <f t="shared" si="120"/>
        <v>3708.0000000000005</v>
      </c>
      <c r="N145" s="651">
        <f t="shared" si="120"/>
        <v>3708.0000000000005</v>
      </c>
      <c r="O145" s="651">
        <f t="shared" si="120"/>
        <v>3708.0000000000005</v>
      </c>
      <c r="P145" s="694">
        <f t="shared" si="118"/>
        <v>44496.000000000007</v>
      </c>
      <c r="Q145" s="643" t="s">
        <v>629</v>
      </c>
      <c r="R145" s="8">
        <f>R143*R144*R136</f>
        <v>480</v>
      </c>
      <c r="S145" s="644" t="s">
        <v>620</v>
      </c>
    </row>
    <row r="146" spans="2:19" ht="16">
      <c r="B146" s="623" t="s">
        <v>628</v>
      </c>
      <c r="C146" s="652"/>
      <c r="D146" s="651">
        <f t="shared" ref="D146:O146" si="121">D135*$C146</f>
        <v>0</v>
      </c>
      <c r="E146" s="651">
        <f t="shared" si="121"/>
        <v>0</v>
      </c>
      <c r="F146" s="651">
        <f t="shared" si="121"/>
        <v>0</v>
      </c>
      <c r="G146" s="651">
        <f t="shared" si="121"/>
        <v>0</v>
      </c>
      <c r="H146" s="651">
        <f t="shared" si="121"/>
        <v>0</v>
      </c>
      <c r="I146" s="651">
        <f t="shared" si="121"/>
        <v>0</v>
      </c>
      <c r="J146" s="651">
        <f t="shared" si="121"/>
        <v>0</v>
      </c>
      <c r="K146" s="651">
        <f t="shared" si="121"/>
        <v>0</v>
      </c>
      <c r="L146" s="651">
        <f t="shared" si="121"/>
        <v>0</v>
      </c>
      <c r="M146" s="651">
        <f t="shared" si="121"/>
        <v>0</v>
      </c>
      <c r="N146" s="651">
        <f t="shared" si="121"/>
        <v>0</v>
      </c>
      <c r="O146" s="651">
        <f t="shared" si="121"/>
        <v>0</v>
      </c>
      <c r="P146" s="694">
        <f t="shared" si="118"/>
        <v>0</v>
      </c>
      <c r="Q146" s="648" t="s">
        <v>631</v>
      </c>
      <c r="R146" s="649">
        <f>R142*R145</f>
        <v>1440</v>
      </c>
      <c r="S146" s="654" t="s">
        <v>623</v>
      </c>
    </row>
    <row r="147" spans="2:19" ht="16">
      <c r="B147" s="623" t="s">
        <v>630</v>
      </c>
      <c r="C147" s="650">
        <f>C46</f>
        <v>0.32500000000000001</v>
      </c>
      <c r="D147" s="651">
        <f t="shared" ref="D147:O147" si="122">D140*$C147</f>
        <v>1064.3040256783549</v>
      </c>
      <c r="E147" s="651">
        <f t="shared" si="122"/>
        <v>1552.7859213773988</v>
      </c>
      <c r="F147" s="651">
        <f t="shared" si="122"/>
        <v>1971.807263642525</v>
      </c>
      <c r="G147" s="651">
        <f t="shared" si="122"/>
        <v>2298.2145346624288</v>
      </c>
      <c r="H147" s="651">
        <f t="shared" si="122"/>
        <v>2717.2358769275556</v>
      </c>
      <c r="I147" s="651">
        <f t="shared" si="122"/>
        <v>2997.3361123248474</v>
      </c>
      <c r="J147" s="651">
        <f t="shared" si="122"/>
        <v>3161.6687586656112</v>
      </c>
      <c r="K147" s="651">
        <f t="shared" si="122"/>
        <v>3279.6943693837634</v>
      </c>
      <c r="L147" s="651">
        <f t="shared" si="122"/>
        <v>3420.8734979132209</v>
      </c>
      <c r="M147" s="651">
        <f t="shared" si="122"/>
        <v>3492.5920730087614</v>
      </c>
      <c r="N147" s="651">
        <f t="shared" si="122"/>
        <v>2846.5515959538234</v>
      </c>
      <c r="O147" s="651">
        <f t="shared" si="122"/>
        <v>1505.9055845597138</v>
      </c>
      <c r="P147" s="694">
        <f t="shared" si="118"/>
        <v>30308.969614098005</v>
      </c>
      <c r="Q147" s="3"/>
      <c r="R147" s="3"/>
      <c r="S147" s="3"/>
    </row>
    <row r="148" spans="2:19" ht="16">
      <c r="B148" s="623" t="s">
        <v>632</v>
      </c>
      <c r="C148" s="652"/>
      <c r="D148" s="651">
        <f t="shared" ref="D148:O148" si="123">D141*$C148</f>
        <v>0</v>
      </c>
      <c r="E148" s="651">
        <f t="shared" si="123"/>
        <v>0</v>
      </c>
      <c r="F148" s="651">
        <f t="shared" si="123"/>
        <v>0</v>
      </c>
      <c r="G148" s="651">
        <f t="shared" si="123"/>
        <v>0</v>
      </c>
      <c r="H148" s="651">
        <f t="shared" si="123"/>
        <v>0</v>
      </c>
      <c r="I148" s="651">
        <f t="shared" si="123"/>
        <v>0</v>
      </c>
      <c r="J148" s="651">
        <f t="shared" si="123"/>
        <v>0</v>
      </c>
      <c r="K148" s="651">
        <f t="shared" si="123"/>
        <v>0</v>
      </c>
      <c r="L148" s="651">
        <f t="shared" si="123"/>
        <v>0</v>
      </c>
      <c r="M148" s="651">
        <f t="shared" si="123"/>
        <v>0</v>
      </c>
      <c r="N148" s="651">
        <f t="shared" si="123"/>
        <v>0</v>
      </c>
      <c r="O148" s="651">
        <f t="shared" si="123"/>
        <v>0</v>
      </c>
      <c r="P148" s="694">
        <f t="shared" si="118"/>
        <v>0</v>
      </c>
      <c r="Q148" s="3"/>
      <c r="R148" s="3"/>
      <c r="S148" s="3"/>
    </row>
    <row r="149" spans="2:19" ht="16">
      <c r="B149" s="656" t="s">
        <v>646</v>
      </c>
      <c r="C149" s="640"/>
      <c r="D149" s="658"/>
      <c r="E149" s="658"/>
      <c r="F149" s="658"/>
      <c r="G149" s="658"/>
      <c r="H149" s="658"/>
      <c r="I149" s="658"/>
      <c r="J149" s="658"/>
      <c r="K149" s="658"/>
      <c r="L149" s="658"/>
      <c r="M149" s="658"/>
      <c r="N149" s="658"/>
      <c r="O149" s="658"/>
      <c r="P149" s="695">
        <f t="shared" si="118"/>
        <v>0</v>
      </c>
      <c r="Q149" s="3"/>
      <c r="R149" s="3"/>
      <c r="S149" s="3"/>
    </row>
    <row r="150" spans="2:19" ht="16">
      <c r="B150" s="639" t="s">
        <v>381</v>
      </c>
      <c r="C150" s="640"/>
      <c r="D150" s="658">
        <f t="shared" ref="D150:P150" si="124">SUM(D143:D149)</f>
        <v>19332.304025678353</v>
      </c>
      <c r="E150" s="658">
        <f t="shared" si="124"/>
        <v>19820.785921377399</v>
      </c>
      <c r="F150" s="658">
        <f t="shared" si="124"/>
        <v>20239.807263642524</v>
      </c>
      <c r="G150" s="658">
        <f t="shared" si="124"/>
        <v>20566.214534662427</v>
      </c>
      <c r="H150" s="658">
        <f t="shared" si="124"/>
        <v>20985.235876927556</v>
      </c>
      <c r="I150" s="658">
        <f t="shared" si="124"/>
        <v>21265.336112324847</v>
      </c>
      <c r="J150" s="658">
        <f t="shared" si="124"/>
        <v>21429.668758665612</v>
      </c>
      <c r="K150" s="658">
        <f t="shared" si="124"/>
        <v>21547.694369383764</v>
      </c>
      <c r="L150" s="658">
        <f t="shared" si="124"/>
        <v>21688.87349791322</v>
      </c>
      <c r="M150" s="658">
        <f t="shared" si="124"/>
        <v>21760.59207300876</v>
      </c>
      <c r="N150" s="658">
        <f t="shared" si="124"/>
        <v>21114.551595953824</v>
      </c>
      <c r="O150" s="658">
        <f t="shared" si="124"/>
        <v>19773.905584559714</v>
      </c>
      <c r="P150" s="696">
        <f t="shared" si="124"/>
        <v>249524.96961409799</v>
      </c>
      <c r="Q150" s="3"/>
      <c r="R150" s="3"/>
      <c r="S150" s="3"/>
    </row>
    <row r="151" spans="2:19" ht="16">
      <c r="B151" s="2050" t="s">
        <v>633</v>
      </c>
      <c r="C151" s="1999"/>
      <c r="D151" s="661">
        <v>3</v>
      </c>
      <c r="E151" s="661">
        <v>3</v>
      </c>
      <c r="F151" s="661">
        <v>3</v>
      </c>
      <c r="G151" s="661">
        <v>3</v>
      </c>
      <c r="H151" s="661">
        <v>3</v>
      </c>
      <c r="I151" s="661">
        <v>3</v>
      </c>
      <c r="J151" s="661">
        <v>3</v>
      </c>
      <c r="K151" s="661">
        <v>3</v>
      </c>
      <c r="L151" s="661">
        <v>3</v>
      </c>
      <c r="M151" s="661">
        <v>3</v>
      </c>
      <c r="N151" s="661">
        <v>3</v>
      </c>
      <c r="O151" s="662">
        <v>3</v>
      </c>
      <c r="P151" s="3"/>
      <c r="Q151" s="3"/>
      <c r="R151" s="3"/>
      <c r="S151" s="3"/>
    </row>
    <row r="152" spans="2:19" ht="12.75" customHeight="1"/>
    <row r="153" spans="2:19" ht="12.75" customHeight="1"/>
    <row r="154" spans="2:19" ht="12.75" customHeight="1"/>
    <row r="155" spans="2:19" ht="12.75" customHeight="1"/>
    <row r="156" spans="2:19" ht="12.75" customHeight="1"/>
    <row r="157" spans="2:19" ht="12.75" customHeight="1"/>
    <row r="158" spans="2:19" ht="12.75" customHeight="1"/>
    <row r="159" spans="2:19" ht="12.75" customHeight="1"/>
    <row r="160" spans="2:19"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sheetData>
  <mergeCells count="12">
    <mergeCell ref="Q11:S11"/>
    <mergeCell ref="Q35:S35"/>
    <mergeCell ref="Q56:S56"/>
    <mergeCell ref="Q84:S84"/>
    <mergeCell ref="Q110:S110"/>
    <mergeCell ref="B151:C151"/>
    <mergeCell ref="B25:C25"/>
    <mergeCell ref="Q135:S135"/>
    <mergeCell ref="B49:C49"/>
    <mergeCell ref="B74:C74"/>
    <mergeCell ref="B100:C100"/>
    <mergeCell ref="B125:C125"/>
  </mergeCells>
  <hyperlinks>
    <hyperlink ref="B1" location="Index!A1" display="Index" xr:uid="{DE078172-B8DC-B348-8E4D-082AB06A8483}"/>
  </hyperlinks>
  <pageMargins left="0.75" right="0.75" top="1" bottom="1"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3AE8A-4312-C845-B25A-7FBC0ABAD149}">
  <sheetPr>
    <tabColor theme="8"/>
    <outlinePr summaryBelow="0" summaryRight="0"/>
  </sheetPr>
  <dimension ref="A1:T108"/>
  <sheetViews>
    <sheetView workbookViewId="0"/>
  </sheetViews>
  <sheetFormatPr baseColWidth="10" defaultColWidth="14.5" defaultRowHeight="15.75" customHeight="1"/>
  <cols>
    <col min="1" max="1" width="36.5" style="1588" customWidth="1"/>
    <col min="2" max="2" width="11.33203125" style="1588" customWidth="1"/>
    <col min="3" max="3" width="11.5" style="1588" customWidth="1"/>
    <col min="4" max="15" width="11.33203125" style="1588" customWidth="1"/>
    <col min="16" max="16" width="14.5" style="1588"/>
    <col min="17" max="17" width="78.33203125" style="1588" customWidth="1"/>
    <col min="18" max="18" width="24" style="1588" customWidth="1"/>
    <col min="19" max="19" width="15.33203125" style="1588" customWidth="1"/>
    <col min="20" max="16384" width="14.5" style="1588"/>
  </cols>
  <sheetData>
    <row r="1" spans="1:20" ht="25">
      <c r="A1" s="1713" t="s">
        <v>0</v>
      </c>
      <c r="P1" s="1711"/>
      <c r="Q1" s="1711"/>
      <c r="R1" s="1711"/>
      <c r="S1" s="1711"/>
      <c r="T1" s="1707"/>
    </row>
    <row r="2" spans="1:20" ht="17" thickBot="1">
      <c r="P2" s="1710"/>
      <c r="Q2" s="1710"/>
      <c r="R2" s="1710"/>
      <c r="S2" s="1710"/>
      <c r="T2" s="1712"/>
    </row>
    <row r="3" spans="1:20" ht="68" customHeight="1">
      <c r="A3" s="2059" t="s">
        <v>943</v>
      </c>
      <c r="B3" s="2060"/>
      <c r="C3" s="1705">
        <f>4*2*8*20</f>
        <v>1280</v>
      </c>
      <c r="D3" s="1471" t="s">
        <v>959</v>
      </c>
      <c r="E3" s="1603"/>
      <c r="F3" s="1634"/>
      <c r="G3" s="1707"/>
      <c r="H3" s="1711"/>
      <c r="I3" s="1711"/>
      <c r="J3" s="1711"/>
      <c r="K3" s="1711"/>
      <c r="L3" s="1711"/>
      <c r="M3" s="1711"/>
      <c r="N3" s="1711"/>
      <c r="O3" s="1711"/>
      <c r="P3" s="1706"/>
      <c r="Q3" s="1706"/>
      <c r="R3" s="1706"/>
      <c r="S3" s="1706"/>
      <c r="T3" s="1709"/>
    </row>
    <row r="4" spans="1:20" ht="19" customHeight="1">
      <c r="A4" s="2061" t="s">
        <v>591</v>
      </c>
      <c r="B4" s="2062"/>
      <c r="C4" s="1704">
        <v>13</v>
      </c>
      <c r="D4" s="1469"/>
      <c r="E4" s="1603"/>
      <c r="F4" s="1634"/>
      <c r="G4" s="1707"/>
      <c r="H4" s="1710"/>
      <c r="I4" s="1710"/>
      <c r="J4" s="1710"/>
      <c r="K4" s="1710"/>
      <c r="L4" s="1710"/>
      <c r="M4" s="1710"/>
      <c r="N4" s="1710"/>
      <c r="O4" s="1710"/>
      <c r="P4" s="1706"/>
      <c r="Q4" s="1706"/>
      <c r="R4" s="1706"/>
      <c r="S4" s="1706"/>
      <c r="T4" s="1709"/>
    </row>
    <row r="5" spans="1:20" ht="19" customHeight="1">
      <c r="A5" s="2063" t="s">
        <v>1095</v>
      </c>
      <c r="B5" s="2064"/>
      <c r="C5" s="1704">
        <f>C4/4</f>
        <v>3.25</v>
      </c>
      <c r="D5" s="1469"/>
      <c r="E5" s="1603"/>
      <c r="F5" s="1634"/>
      <c r="G5" s="1707"/>
      <c r="H5" s="1710"/>
      <c r="I5" s="1710"/>
      <c r="J5" s="1710"/>
      <c r="K5" s="1710"/>
      <c r="L5" s="1710"/>
      <c r="M5" s="1710"/>
      <c r="N5" s="1710"/>
      <c r="O5" s="1710"/>
      <c r="P5" s="1706"/>
      <c r="Q5" s="1706"/>
      <c r="R5" s="1706"/>
      <c r="S5" s="1706"/>
      <c r="T5" s="1709"/>
    </row>
    <row r="6" spans="1:20" ht="19" customHeight="1">
      <c r="A6" s="2061" t="s">
        <v>593</v>
      </c>
      <c r="B6" s="2062"/>
      <c r="C6" s="1469">
        <v>0</v>
      </c>
      <c r="D6" s="1469"/>
      <c r="E6" s="1603"/>
      <c r="F6" s="1419"/>
      <c r="G6" s="1707"/>
      <c r="H6" s="1706"/>
      <c r="I6" s="1706"/>
      <c r="J6" s="1706"/>
      <c r="K6" s="1706"/>
      <c r="L6" s="1706"/>
      <c r="M6" s="1706"/>
      <c r="N6" s="1706"/>
      <c r="O6" s="1706"/>
      <c r="P6" s="1706"/>
      <c r="Q6" s="1706"/>
      <c r="R6" s="1706"/>
      <c r="S6" s="1706"/>
      <c r="T6" s="1709"/>
    </row>
    <row r="7" spans="1:20" ht="19" customHeight="1">
      <c r="A7" s="2061" t="s">
        <v>595</v>
      </c>
      <c r="B7" s="2062"/>
      <c r="C7" s="1708">
        <f>C4*1.5</f>
        <v>19.5</v>
      </c>
      <c r="D7" s="1469"/>
      <c r="E7" s="1603"/>
      <c r="F7" s="1419"/>
      <c r="G7" s="1707"/>
      <c r="H7" s="1706"/>
      <c r="I7" s="1706"/>
      <c r="J7" s="1706"/>
      <c r="K7" s="1706"/>
      <c r="L7" s="1706"/>
      <c r="M7" s="1706"/>
      <c r="N7" s="1706"/>
      <c r="O7" s="1706"/>
    </row>
    <row r="8" spans="1:20" ht="19" customHeight="1">
      <c r="A8" s="2063" t="s">
        <v>1094</v>
      </c>
      <c r="B8" s="2064"/>
      <c r="C8" s="1708">
        <f>C7/4</f>
        <v>4.875</v>
      </c>
      <c r="D8" s="1469"/>
      <c r="E8" s="1603"/>
      <c r="F8" s="1419"/>
      <c r="G8" s="1707"/>
      <c r="H8" s="1706"/>
      <c r="I8" s="1706"/>
      <c r="J8" s="1706"/>
      <c r="K8" s="1706"/>
      <c r="L8" s="1706"/>
      <c r="M8" s="1706"/>
      <c r="N8" s="1706"/>
      <c r="O8" s="1706"/>
    </row>
    <row r="9" spans="1:20" ht="19" customHeight="1">
      <c r="A9" s="2061" t="s">
        <v>597</v>
      </c>
      <c r="B9" s="2062"/>
      <c r="C9" s="1704">
        <f>0.3*C4/12</f>
        <v>0.32500000000000001</v>
      </c>
      <c r="D9" s="1469" t="s">
        <v>598</v>
      </c>
      <c r="E9" s="1603"/>
      <c r="F9" s="1419"/>
      <c r="G9" s="1707"/>
      <c r="H9" s="1706"/>
      <c r="I9" s="1706"/>
      <c r="J9" s="1706"/>
      <c r="K9" s="1706"/>
      <c r="L9" s="1706"/>
      <c r="M9" s="1706"/>
      <c r="N9" s="1706"/>
      <c r="O9" s="1706"/>
    </row>
    <row r="10" spans="1:20" ht="19" customHeight="1" thickBot="1">
      <c r="A10" s="2054" t="s">
        <v>600</v>
      </c>
      <c r="B10" s="2055"/>
      <c r="C10" s="1703">
        <v>10.3</v>
      </c>
      <c r="D10" s="1470"/>
      <c r="E10" s="1603"/>
      <c r="F10" s="1603"/>
      <c r="G10" s="1603"/>
      <c r="H10" s="1603"/>
      <c r="I10" s="1603"/>
      <c r="J10" s="1603"/>
      <c r="K10" s="1603"/>
      <c r="L10" s="1603"/>
      <c r="M10" s="1603"/>
      <c r="N10" s="1603"/>
      <c r="O10" s="1603"/>
    </row>
    <row r="11" spans="1:20" ht="19" customHeight="1" thickBot="1">
      <c r="A11" s="1589"/>
      <c r="B11" s="1421"/>
      <c r="C11" s="1421"/>
      <c r="D11" s="1603"/>
      <c r="E11" s="1603"/>
      <c r="F11" s="1603"/>
      <c r="G11" s="1603"/>
      <c r="H11" s="1603"/>
      <c r="I11" s="1603"/>
      <c r="J11" s="1603"/>
      <c r="K11" s="1603"/>
      <c r="L11" s="1603"/>
      <c r="M11" s="1603"/>
      <c r="N11" s="1603"/>
      <c r="O11" s="1603"/>
      <c r="Q11" s="982"/>
      <c r="R11" s="982"/>
    </row>
    <row r="12" spans="1:20" ht="19" customHeight="1" thickBot="1">
      <c r="A12" s="1735" t="s">
        <v>955</v>
      </c>
      <c r="B12" s="2056" t="s">
        <v>726</v>
      </c>
      <c r="C12" s="2057"/>
      <c r="D12" s="2057"/>
      <c r="E12" s="2057"/>
      <c r="F12" s="2057"/>
      <c r="G12" s="2057"/>
      <c r="H12" s="2057"/>
      <c r="I12" s="2057"/>
      <c r="J12" s="2057"/>
      <c r="K12" s="2057"/>
      <c r="L12" s="2057"/>
      <c r="M12" s="2057"/>
      <c r="N12" s="2057"/>
      <c r="O12" s="2058"/>
      <c r="Q12" s="982"/>
      <c r="R12" s="982"/>
      <c r="S12" s="982"/>
    </row>
    <row r="13" spans="1:20" ht="19" customHeight="1">
      <c r="A13" s="1422"/>
      <c r="B13" s="1423"/>
      <c r="C13" s="1423">
        <v>1</v>
      </c>
      <c r="D13" s="1423">
        <v>2</v>
      </c>
      <c r="E13" s="1423">
        <v>3</v>
      </c>
      <c r="F13" s="1423">
        <v>4</v>
      </c>
      <c r="G13" s="1423">
        <v>5</v>
      </c>
      <c r="H13" s="1423">
        <v>6</v>
      </c>
      <c r="I13" s="1423">
        <v>7</v>
      </c>
      <c r="J13" s="1423">
        <v>8</v>
      </c>
      <c r="K13" s="1423">
        <v>9</v>
      </c>
      <c r="L13" s="1423">
        <v>10</v>
      </c>
      <c r="M13" s="1423">
        <v>11</v>
      </c>
      <c r="N13" s="1423">
        <v>12</v>
      </c>
      <c r="O13" s="1424" t="s">
        <v>381</v>
      </c>
      <c r="Q13" s="982"/>
      <c r="R13" s="982"/>
      <c r="S13" s="982"/>
    </row>
    <row r="14" spans="1:20" ht="19" customHeight="1">
      <c r="A14" s="1422" t="s">
        <v>586</v>
      </c>
      <c r="B14" s="1425"/>
      <c r="C14" s="1425">
        <v>6.9860279441117765E-2</v>
      </c>
      <c r="D14" s="1425">
        <v>5.3892215568862277E-2</v>
      </c>
      <c r="E14" s="1425">
        <v>7.5848303393213579E-2</v>
      </c>
      <c r="F14" s="1425">
        <v>6.1876247504990017E-2</v>
      </c>
      <c r="G14" s="1425">
        <v>6.7864271457085831E-2</v>
      </c>
      <c r="H14" s="1425">
        <v>7.3852295409181631E-2</v>
      </c>
      <c r="I14" s="1425">
        <v>7.7844311377245512E-2</v>
      </c>
      <c r="J14" s="1425">
        <v>7.7844311377245512E-2</v>
      </c>
      <c r="K14" s="1425">
        <v>7.5848303393213579E-2</v>
      </c>
      <c r="L14" s="1425">
        <v>8.3832335329341312E-2</v>
      </c>
      <c r="M14" s="1425">
        <v>0.1377245508982036</v>
      </c>
      <c r="N14" s="1425">
        <v>0.1437125748502994</v>
      </c>
      <c r="O14" s="1426">
        <f>SUM(C14:N14)</f>
        <v>1</v>
      </c>
      <c r="Q14" s="982"/>
      <c r="R14" s="982"/>
      <c r="S14" s="982"/>
    </row>
    <row r="15" spans="1:20" ht="19" customHeight="1">
      <c r="A15" s="1427" t="s">
        <v>944</v>
      </c>
      <c r="B15" s="1428"/>
      <c r="C15" s="1428">
        <f t="shared" ref="C15:N15" si="0">$O$15*C14</f>
        <v>893.43353855918235</v>
      </c>
      <c r="D15" s="1428">
        <f t="shared" si="0"/>
        <v>689.22015831708359</v>
      </c>
      <c r="E15" s="1428">
        <f t="shared" si="0"/>
        <v>970.01355614996953</v>
      </c>
      <c r="F15" s="1428">
        <f t="shared" si="0"/>
        <v>791.32684843813297</v>
      </c>
      <c r="G15" s="1428">
        <f t="shared" si="0"/>
        <v>867.90686602892004</v>
      </c>
      <c r="H15" s="1428">
        <f t="shared" si="0"/>
        <v>944.48688361970699</v>
      </c>
      <c r="I15" s="1428">
        <f t="shared" si="0"/>
        <v>995.54022868023185</v>
      </c>
      <c r="J15" s="1428">
        <f t="shared" si="0"/>
        <v>995.54022868023185</v>
      </c>
      <c r="K15" s="1428">
        <f t="shared" si="0"/>
        <v>970.01355614996953</v>
      </c>
      <c r="L15" s="1428">
        <f t="shared" si="0"/>
        <v>1072.1202462710187</v>
      </c>
      <c r="M15" s="1428">
        <f t="shared" si="0"/>
        <v>1761.3404045881025</v>
      </c>
      <c r="N15" s="1428">
        <f t="shared" si="0"/>
        <v>1837.9204221788893</v>
      </c>
      <c r="O15" s="1429">
        <f>'MK Bases Model (Base Case)'!B16</f>
        <v>12788.862937661439</v>
      </c>
      <c r="Q15" s="982"/>
      <c r="S15" s="982"/>
    </row>
    <row r="16" spans="1:20" ht="19" customHeight="1">
      <c r="A16" s="1475" t="s">
        <v>594</v>
      </c>
      <c r="B16" s="1476"/>
      <c r="C16" s="1476"/>
      <c r="D16" s="1476"/>
      <c r="E16" s="1476"/>
      <c r="F16" s="1476"/>
      <c r="G16" s="1476"/>
      <c r="H16" s="1476"/>
      <c r="I16" s="1476"/>
      <c r="J16" s="1476"/>
      <c r="K16" s="1476"/>
      <c r="L16" s="1476"/>
      <c r="M16" s="1476"/>
      <c r="N16" s="1476"/>
      <c r="O16" s="1477"/>
      <c r="Q16" s="982"/>
      <c r="R16" s="982"/>
    </row>
    <row r="17" spans="1:18" ht="19" customHeight="1">
      <c r="A17" s="1478" t="s">
        <v>945</v>
      </c>
      <c r="B17" s="1479"/>
      <c r="C17" s="1480">
        <f t="shared" ref="C17:N17" si="1">IF(C15&lt;$C$3,C15,$C$3)</f>
        <v>893.43353855918235</v>
      </c>
      <c r="D17" s="1480">
        <f t="shared" si="1"/>
        <v>689.22015831708359</v>
      </c>
      <c r="E17" s="1480">
        <f t="shared" si="1"/>
        <v>970.01355614996953</v>
      </c>
      <c r="F17" s="1480">
        <f t="shared" si="1"/>
        <v>791.32684843813297</v>
      </c>
      <c r="G17" s="1480">
        <f t="shared" si="1"/>
        <v>867.90686602892004</v>
      </c>
      <c r="H17" s="1480">
        <f t="shared" si="1"/>
        <v>944.48688361970699</v>
      </c>
      <c r="I17" s="1480">
        <f t="shared" si="1"/>
        <v>995.54022868023185</v>
      </c>
      <c r="J17" s="1480">
        <f t="shared" si="1"/>
        <v>995.54022868023185</v>
      </c>
      <c r="K17" s="1480">
        <f t="shared" si="1"/>
        <v>970.01355614996953</v>
      </c>
      <c r="L17" s="1480">
        <f t="shared" si="1"/>
        <v>1072.1202462710187</v>
      </c>
      <c r="M17" s="1480">
        <f t="shared" si="1"/>
        <v>1280</v>
      </c>
      <c r="N17" s="1480">
        <f t="shared" si="1"/>
        <v>1280</v>
      </c>
      <c r="O17" s="1481">
        <f>SUM(C17:N17)</f>
        <v>11749.602110894446</v>
      </c>
      <c r="Q17" s="982"/>
      <c r="R17" s="984"/>
    </row>
    <row r="18" spans="1:18" ht="19" customHeight="1">
      <c r="A18" s="1478" t="s">
        <v>505</v>
      </c>
      <c r="B18" s="1479"/>
      <c r="C18" s="1480">
        <f t="shared" ref="C18:N18" si="2">IF(C17&gt;C15,0,C15-C17)</f>
        <v>0</v>
      </c>
      <c r="D18" s="1480">
        <f t="shared" si="2"/>
        <v>0</v>
      </c>
      <c r="E18" s="1480">
        <f t="shared" si="2"/>
        <v>0</v>
      </c>
      <c r="F18" s="1480">
        <f t="shared" si="2"/>
        <v>0</v>
      </c>
      <c r="G18" s="1480">
        <f t="shared" si="2"/>
        <v>0</v>
      </c>
      <c r="H18" s="1480">
        <f t="shared" si="2"/>
        <v>0</v>
      </c>
      <c r="I18" s="1480">
        <f t="shared" si="2"/>
        <v>0</v>
      </c>
      <c r="J18" s="1480">
        <f t="shared" si="2"/>
        <v>0</v>
      </c>
      <c r="K18" s="1480">
        <f t="shared" si="2"/>
        <v>0</v>
      </c>
      <c r="L18" s="1480">
        <f t="shared" si="2"/>
        <v>0</v>
      </c>
      <c r="M18" s="1480">
        <f t="shared" si="2"/>
        <v>481.3404045881025</v>
      </c>
      <c r="N18" s="1480">
        <f t="shared" si="2"/>
        <v>557.92042217888934</v>
      </c>
      <c r="O18" s="1481">
        <f>SUM(C18:N18)</f>
        <v>1039.2608267669918</v>
      </c>
      <c r="Q18" s="982"/>
    </row>
    <row r="19" spans="1:18" ht="19" customHeight="1">
      <c r="A19" s="1478" t="s">
        <v>946</v>
      </c>
      <c r="B19" s="1476"/>
      <c r="C19" s="1476">
        <f>0</f>
        <v>0</v>
      </c>
      <c r="D19" s="1476">
        <f>0</f>
        <v>0</v>
      </c>
      <c r="E19" s="1476">
        <f>0</f>
        <v>0</v>
      </c>
      <c r="F19" s="1476">
        <f>0</f>
        <v>0</v>
      </c>
      <c r="G19" s="1476">
        <f>0</f>
        <v>0</v>
      </c>
      <c r="H19" s="1476">
        <f>0</f>
        <v>0</v>
      </c>
      <c r="I19" s="1476">
        <f>0</f>
        <v>0</v>
      </c>
      <c r="J19" s="1476">
        <f>0</f>
        <v>0</v>
      </c>
      <c r="K19" s="1476">
        <f>0</f>
        <v>0</v>
      </c>
      <c r="L19" s="1476">
        <f>0</f>
        <v>0</v>
      </c>
      <c r="M19" s="1476">
        <f>0</f>
        <v>0</v>
      </c>
      <c r="N19" s="1476">
        <f>0</f>
        <v>0</v>
      </c>
      <c r="O19" s="1477">
        <f>0</f>
        <v>0</v>
      </c>
    </row>
    <row r="20" spans="1:18" ht="19" customHeight="1">
      <c r="A20" s="1482" t="s">
        <v>603</v>
      </c>
      <c r="B20" s="1483"/>
      <c r="C20" s="1483">
        <f>0</f>
        <v>0</v>
      </c>
      <c r="D20" s="1483">
        <f>0</f>
        <v>0</v>
      </c>
      <c r="E20" s="1483">
        <f>0</f>
        <v>0</v>
      </c>
      <c r="F20" s="1483">
        <f>0</f>
        <v>0</v>
      </c>
      <c r="G20" s="1483">
        <f>0</f>
        <v>0</v>
      </c>
      <c r="H20" s="1483">
        <f>0</f>
        <v>0</v>
      </c>
      <c r="I20" s="1483">
        <f>0</f>
        <v>0</v>
      </c>
      <c r="J20" s="1483">
        <f>0</f>
        <v>0</v>
      </c>
      <c r="K20" s="1483">
        <f>0</f>
        <v>0</v>
      </c>
      <c r="L20" s="1483">
        <f>0</f>
        <v>0</v>
      </c>
      <c r="M20" s="1483">
        <f>0</f>
        <v>0</v>
      </c>
      <c r="N20" s="1483">
        <f>0</f>
        <v>0</v>
      </c>
      <c r="O20" s="1484">
        <f>0</f>
        <v>0</v>
      </c>
    </row>
    <row r="21" spans="1:18" ht="19" customHeight="1">
      <c r="A21" s="1440" t="s">
        <v>605</v>
      </c>
      <c r="B21" s="1441"/>
      <c r="C21" s="1441"/>
      <c r="D21" s="1441"/>
      <c r="E21" s="1441"/>
      <c r="F21" s="1441"/>
      <c r="G21" s="1441"/>
      <c r="H21" s="1441"/>
      <c r="I21" s="1441"/>
      <c r="J21" s="1441"/>
      <c r="K21" s="1441"/>
      <c r="L21" s="1441"/>
      <c r="M21" s="1441"/>
      <c r="N21" s="1441"/>
      <c r="O21" s="1442"/>
    </row>
    <row r="22" spans="1:18" ht="19" customHeight="1">
      <c r="A22" s="1443" t="s">
        <v>947</v>
      </c>
      <c r="B22" s="1441"/>
      <c r="C22" s="1441">
        <f>0</f>
        <v>0</v>
      </c>
      <c r="D22" s="1441">
        <f>0</f>
        <v>0</v>
      </c>
      <c r="E22" s="1441">
        <f>0</f>
        <v>0</v>
      </c>
      <c r="F22" s="1441">
        <f>0</f>
        <v>0</v>
      </c>
      <c r="G22" s="1441">
        <f>0</f>
        <v>0</v>
      </c>
      <c r="H22" s="1441">
        <f>0</f>
        <v>0</v>
      </c>
      <c r="I22" s="1441">
        <f>0</f>
        <v>0</v>
      </c>
      <c r="J22" s="1441">
        <f>0</f>
        <v>0</v>
      </c>
      <c r="K22" s="1441">
        <f>0</f>
        <v>0</v>
      </c>
      <c r="L22" s="1441">
        <f>0</f>
        <v>0</v>
      </c>
      <c r="M22" s="1441">
        <f>0</f>
        <v>0</v>
      </c>
      <c r="N22" s="1441">
        <f>0</f>
        <v>0</v>
      </c>
      <c r="O22" s="1442">
        <f>0</f>
        <v>0</v>
      </c>
    </row>
    <row r="23" spans="1:18" ht="19" customHeight="1">
      <c r="A23" s="1443" t="s">
        <v>948</v>
      </c>
      <c r="B23" s="1441"/>
      <c r="C23" s="1441">
        <f>0</f>
        <v>0</v>
      </c>
      <c r="D23" s="1441">
        <f>0</f>
        <v>0</v>
      </c>
      <c r="E23" s="1441">
        <f>0</f>
        <v>0</v>
      </c>
      <c r="F23" s="1441">
        <f>0</f>
        <v>0</v>
      </c>
      <c r="G23" s="1441">
        <f>0</f>
        <v>0</v>
      </c>
      <c r="H23" s="1441">
        <f>0</f>
        <v>0</v>
      </c>
      <c r="I23" s="1441">
        <f>0</f>
        <v>0</v>
      </c>
      <c r="J23" s="1441">
        <f>0</f>
        <v>0</v>
      </c>
      <c r="K23" s="1441">
        <f>0</f>
        <v>0</v>
      </c>
      <c r="L23" s="1441">
        <f>0</f>
        <v>0</v>
      </c>
      <c r="M23" s="1441">
        <f>0</f>
        <v>0</v>
      </c>
      <c r="N23" s="1441">
        <f>0</f>
        <v>0</v>
      </c>
      <c r="O23" s="1442">
        <f>0</f>
        <v>0</v>
      </c>
    </row>
    <row r="24" spans="1:18" ht="19" customHeight="1">
      <c r="A24" s="1443" t="s">
        <v>949</v>
      </c>
      <c r="B24" s="1441"/>
      <c r="C24" s="1441">
        <f>0</f>
        <v>0</v>
      </c>
      <c r="D24" s="1441">
        <f>0</f>
        <v>0</v>
      </c>
      <c r="E24" s="1441">
        <f>0</f>
        <v>0</v>
      </c>
      <c r="F24" s="1441">
        <f>0</f>
        <v>0</v>
      </c>
      <c r="G24" s="1441">
        <f>0</f>
        <v>0</v>
      </c>
      <c r="H24" s="1441">
        <f>0</f>
        <v>0</v>
      </c>
      <c r="I24" s="1441">
        <f>0</f>
        <v>0</v>
      </c>
      <c r="J24" s="1441">
        <f>0</f>
        <v>0</v>
      </c>
      <c r="K24" s="1441">
        <f>0</f>
        <v>0</v>
      </c>
      <c r="L24" s="1441">
        <f>0</f>
        <v>0</v>
      </c>
      <c r="M24" s="1441">
        <f>0</f>
        <v>0</v>
      </c>
      <c r="N24" s="1441">
        <f>0</f>
        <v>0</v>
      </c>
      <c r="O24" s="1442">
        <f>0</f>
        <v>0</v>
      </c>
    </row>
    <row r="25" spans="1:18" ht="19" customHeight="1">
      <c r="A25" s="1444" t="s">
        <v>950</v>
      </c>
      <c r="B25" s="1445"/>
      <c r="C25" s="1445">
        <f>0</f>
        <v>0</v>
      </c>
      <c r="D25" s="1445">
        <f>0</f>
        <v>0</v>
      </c>
      <c r="E25" s="1445">
        <f>0</f>
        <v>0</v>
      </c>
      <c r="F25" s="1445">
        <f>0</f>
        <v>0</v>
      </c>
      <c r="G25" s="1445">
        <f>0</f>
        <v>0</v>
      </c>
      <c r="H25" s="1445">
        <f>0</f>
        <v>0</v>
      </c>
      <c r="I25" s="1445">
        <f>0</f>
        <v>0</v>
      </c>
      <c r="J25" s="1445">
        <f>0</f>
        <v>0</v>
      </c>
      <c r="K25" s="1445">
        <f>0</f>
        <v>0</v>
      </c>
      <c r="L25" s="1445">
        <f>0</f>
        <v>0</v>
      </c>
      <c r="M25" s="1445">
        <f>0</f>
        <v>0</v>
      </c>
      <c r="N25" s="1445">
        <f>0</f>
        <v>0</v>
      </c>
      <c r="O25" s="1446">
        <f>0</f>
        <v>0</v>
      </c>
    </row>
    <row r="26" spans="1:18" ht="19" customHeight="1">
      <c r="A26" s="1485" t="s">
        <v>636</v>
      </c>
      <c r="B26" s="1486"/>
      <c r="C26" s="1486"/>
      <c r="D26" s="1486"/>
      <c r="E26" s="1486"/>
      <c r="F26" s="1486"/>
      <c r="G26" s="1486"/>
      <c r="H26" s="1486"/>
      <c r="I26" s="1486"/>
      <c r="J26" s="1486"/>
      <c r="K26" s="1486"/>
      <c r="L26" s="1486"/>
      <c r="M26" s="1486"/>
      <c r="N26" s="1486"/>
      <c r="O26" s="1487"/>
    </row>
    <row r="27" spans="1:18" ht="19" customHeight="1">
      <c r="A27" s="1485" t="s">
        <v>594</v>
      </c>
      <c r="B27" s="1486"/>
      <c r="C27" s="1486"/>
      <c r="D27" s="1486"/>
      <c r="E27" s="1486"/>
      <c r="F27" s="1486"/>
      <c r="G27" s="1486"/>
      <c r="H27" s="1486"/>
      <c r="I27" s="1486"/>
      <c r="J27" s="1486"/>
      <c r="K27" s="1486"/>
      <c r="L27" s="1486"/>
      <c r="M27" s="1486"/>
      <c r="N27" s="1486"/>
      <c r="O27" s="1487"/>
    </row>
    <row r="28" spans="1:18" ht="19" customHeight="1">
      <c r="A28" s="1488" t="s">
        <v>945</v>
      </c>
      <c r="B28" s="1489"/>
      <c r="C28" s="1489">
        <f t="shared" ref="C28:O28" si="3">$C$5*C17</f>
        <v>2903.6590003173428</v>
      </c>
      <c r="D28" s="1489">
        <f t="shared" si="3"/>
        <v>2239.9655145305214</v>
      </c>
      <c r="E28" s="1489">
        <f t="shared" si="3"/>
        <v>3152.544057487401</v>
      </c>
      <c r="F28" s="1489">
        <f t="shared" si="3"/>
        <v>2571.8122574239324</v>
      </c>
      <c r="G28" s="1489">
        <f t="shared" si="3"/>
        <v>2820.6973145939901</v>
      </c>
      <c r="H28" s="1489">
        <f t="shared" si="3"/>
        <v>3069.5823717640478</v>
      </c>
      <c r="I28" s="1489">
        <f t="shared" si="3"/>
        <v>3235.5057432107533</v>
      </c>
      <c r="J28" s="1489">
        <f t="shared" si="3"/>
        <v>3235.5057432107533</v>
      </c>
      <c r="K28" s="1489">
        <f t="shared" si="3"/>
        <v>3152.544057487401</v>
      </c>
      <c r="L28" s="1489">
        <f t="shared" si="3"/>
        <v>3484.3908003808106</v>
      </c>
      <c r="M28" s="1489">
        <f t="shared" si="3"/>
        <v>4160</v>
      </c>
      <c r="N28" s="1489">
        <f t="shared" si="3"/>
        <v>4160</v>
      </c>
      <c r="O28" s="1490">
        <f t="shared" si="3"/>
        <v>38186.20686040695</v>
      </c>
    </row>
    <row r="29" spans="1:18" ht="19" customHeight="1">
      <c r="A29" s="1488" t="s">
        <v>505</v>
      </c>
      <c r="B29" s="1489"/>
      <c r="C29" s="1489">
        <f t="shared" ref="C29:L29" si="4">$C$7*C18</f>
        <v>0</v>
      </c>
      <c r="D29" s="1489">
        <f t="shared" si="4"/>
        <v>0</v>
      </c>
      <c r="E29" s="1489">
        <f t="shared" si="4"/>
        <v>0</v>
      </c>
      <c r="F29" s="1489">
        <f t="shared" si="4"/>
        <v>0</v>
      </c>
      <c r="G29" s="1489">
        <f t="shared" si="4"/>
        <v>0</v>
      </c>
      <c r="H29" s="1489">
        <f t="shared" si="4"/>
        <v>0</v>
      </c>
      <c r="I29" s="1489">
        <f t="shared" si="4"/>
        <v>0</v>
      </c>
      <c r="J29" s="1489">
        <f t="shared" si="4"/>
        <v>0</v>
      </c>
      <c r="K29" s="1489">
        <f t="shared" si="4"/>
        <v>0</v>
      </c>
      <c r="L29" s="1489">
        <f t="shared" si="4"/>
        <v>0</v>
      </c>
      <c r="M29" s="1489">
        <f>$C$8*M18</f>
        <v>2346.5344723669996</v>
      </c>
      <c r="N29" s="1489">
        <f>$C$8*N18</f>
        <v>2719.8620581220857</v>
      </c>
      <c r="O29" s="1490">
        <f>$C$8*O18</f>
        <v>5066.3965304890853</v>
      </c>
    </row>
    <row r="30" spans="1:18" ht="19" customHeight="1">
      <c r="A30" s="1488" t="s">
        <v>946</v>
      </c>
      <c r="B30" s="1491"/>
      <c r="C30" s="1491">
        <f>0</f>
        <v>0</v>
      </c>
      <c r="D30" s="1491">
        <f>0</f>
        <v>0</v>
      </c>
      <c r="E30" s="1491">
        <f>0</f>
        <v>0</v>
      </c>
      <c r="F30" s="1491">
        <f>0</f>
        <v>0</v>
      </c>
      <c r="G30" s="1491">
        <f>0</f>
        <v>0</v>
      </c>
      <c r="H30" s="1491">
        <f>0</f>
        <v>0</v>
      </c>
      <c r="I30" s="1491">
        <f>0</f>
        <v>0</v>
      </c>
      <c r="J30" s="1491">
        <f>0</f>
        <v>0</v>
      </c>
      <c r="K30" s="1491">
        <f>0</f>
        <v>0</v>
      </c>
      <c r="L30" s="1491">
        <f>0</f>
        <v>0</v>
      </c>
      <c r="M30" s="1491">
        <f>0</f>
        <v>0</v>
      </c>
      <c r="N30" s="1491">
        <f>0</f>
        <v>0</v>
      </c>
      <c r="O30" s="1492">
        <f>0</f>
        <v>0</v>
      </c>
    </row>
    <row r="31" spans="1:18" ht="19" customHeight="1">
      <c r="A31" s="1493" t="s">
        <v>605</v>
      </c>
      <c r="B31" s="1494"/>
      <c r="C31" s="1494"/>
      <c r="D31" s="1494"/>
      <c r="E31" s="1494"/>
      <c r="F31" s="1494"/>
      <c r="G31" s="1494"/>
      <c r="H31" s="1494"/>
      <c r="I31" s="1494"/>
      <c r="J31" s="1494"/>
      <c r="K31" s="1494"/>
      <c r="L31" s="1494"/>
      <c r="M31" s="1494"/>
      <c r="N31" s="1494"/>
      <c r="O31" s="1495"/>
    </row>
    <row r="32" spans="1:18" ht="19" customHeight="1" thickBot="1">
      <c r="A32" s="1504" t="s">
        <v>381</v>
      </c>
      <c r="B32" s="1505"/>
      <c r="C32" s="1505">
        <f t="shared" ref="C32:N32" si="5">SUM(C28:C29)</f>
        <v>2903.6590003173428</v>
      </c>
      <c r="D32" s="1505">
        <f t="shared" si="5"/>
        <v>2239.9655145305214</v>
      </c>
      <c r="E32" s="1505">
        <f t="shared" si="5"/>
        <v>3152.544057487401</v>
      </c>
      <c r="F32" s="1505">
        <f t="shared" si="5"/>
        <v>2571.8122574239324</v>
      </c>
      <c r="G32" s="1505">
        <f t="shared" si="5"/>
        <v>2820.6973145939901</v>
      </c>
      <c r="H32" s="1505">
        <f t="shared" si="5"/>
        <v>3069.5823717640478</v>
      </c>
      <c r="I32" s="1505">
        <f t="shared" si="5"/>
        <v>3235.5057432107533</v>
      </c>
      <c r="J32" s="1505">
        <f t="shared" si="5"/>
        <v>3235.5057432107533</v>
      </c>
      <c r="K32" s="1505">
        <f t="shared" si="5"/>
        <v>3152.544057487401</v>
      </c>
      <c r="L32" s="1505">
        <f t="shared" si="5"/>
        <v>3484.3908003808106</v>
      </c>
      <c r="M32" s="1505">
        <f t="shared" si="5"/>
        <v>6506.5344723669996</v>
      </c>
      <c r="N32" s="1505">
        <f t="shared" si="5"/>
        <v>6879.8620581220857</v>
      </c>
      <c r="O32" s="1506">
        <f>SUM(O28:O30)</f>
        <v>43252.603390896038</v>
      </c>
    </row>
    <row r="33" spans="1:15" ht="19" customHeight="1" thickBot="1">
      <c r="A33" s="1681"/>
      <c r="B33" s="1448"/>
      <c r="C33" s="1448"/>
      <c r="D33" s="1448"/>
      <c r="E33" s="1448"/>
      <c r="F33" s="1448"/>
      <c r="G33" s="1448"/>
      <c r="H33" s="1448"/>
      <c r="I33" s="1448"/>
      <c r="J33" s="1448"/>
      <c r="K33" s="1448"/>
      <c r="L33" s="1448"/>
      <c r="M33" s="1448"/>
      <c r="N33" s="1448"/>
      <c r="O33" s="1448"/>
    </row>
    <row r="34" spans="1:15" ht="19" customHeight="1" thickBot="1">
      <c r="A34" s="1735" t="s">
        <v>956</v>
      </c>
      <c r="B34" s="1736"/>
      <c r="C34" s="2057" t="s">
        <v>726</v>
      </c>
      <c r="D34" s="2057"/>
      <c r="E34" s="2057"/>
      <c r="F34" s="2057"/>
      <c r="G34" s="2057"/>
      <c r="H34" s="2057"/>
      <c r="I34" s="2057"/>
      <c r="J34" s="2057"/>
      <c r="K34" s="2057"/>
      <c r="L34" s="2057"/>
      <c r="M34" s="2057"/>
      <c r="N34" s="2057"/>
      <c r="O34" s="2058"/>
    </row>
    <row r="35" spans="1:15" ht="19" customHeight="1">
      <c r="A35" s="1422"/>
      <c r="B35" s="1423"/>
      <c r="C35" s="1423">
        <v>1</v>
      </c>
      <c r="D35" s="1423">
        <v>2</v>
      </c>
      <c r="E35" s="1423">
        <v>3</v>
      </c>
      <c r="F35" s="1423">
        <v>4</v>
      </c>
      <c r="G35" s="1423">
        <v>5</v>
      </c>
      <c r="H35" s="1423">
        <v>6</v>
      </c>
      <c r="I35" s="1423">
        <v>7</v>
      </c>
      <c r="J35" s="1423">
        <v>8</v>
      </c>
      <c r="K35" s="1423">
        <v>9</v>
      </c>
      <c r="L35" s="1423">
        <v>10</v>
      </c>
      <c r="M35" s="1423">
        <v>11</v>
      </c>
      <c r="N35" s="1423">
        <v>12</v>
      </c>
      <c r="O35" s="1424" t="s">
        <v>381</v>
      </c>
    </row>
    <row r="36" spans="1:15" ht="19" customHeight="1">
      <c r="A36" s="1422" t="s">
        <v>586</v>
      </c>
      <c r="B36" s="1425"/>
      <c r="C36" s="1425">
        <v>6.9860279441117765E-2</v>
      </c>
      <c r="D36" s="1425">
        <v>5.3892215568862277E-2</v>
      </c>
      <c r="E36" s="1425">
        <v>7.5848303393213606E-2</v>
      </c>
      <c r="F36" s="1425">
        <v>6.1876247504990017E-2</v>
      </c>
      <c r="G36" s="1425">
        <v>6.7864271457085831E-2</v>
      </c>
      <c r="H36" s="1425">
        <v>7.3852295409181631E-2</v>
      </c>
      <c r="I36" s="1425">
        <v>7.7844311377245512E-2</v>
      </c>
      <c r="J36" s="1425">
        <v>7.7844311377245512E-2</v>
      </c>
      <c r="K36" s="1425">
        <v>7.5848303393213579E-2</v>
      </c>
      <c r="L36" s="1425">
        <v>8.3832335329341312E-2</v>
      </c>
      <c r="M36" s="1425">
        <v>0.1377245508982036</v>
      </c>
      <c r="N36" s="1425">
        <v>0.1437125748502994</v>
      </c>
      <c r="O36" s="1426">
        <f>SUM(C36:N36)</f>
        <v>1</v>
      </c>
    </row>
    <row r="37" spans="1:15" ht="19" customHeight="1">
      <c r="A37" s="1427" t="s">
        <v>944</v>
      </c>
      <c r="B37" s="1428"/>
      <c r="C37" s="1428">
        <f t="shared" ref="C37:N37" si="6">$O$15*C36</f>
        <v>893.43353855918235</v>
      </c>
      <c r="D37" s="1428">
        <f t="shared" si="6"/>
        <v>689.22015831708359</v>
      </c>
      <c r="E37" s="1428">
        <f t="shared" si="6"/>
        <v>970.01355614996987</v>
      </c>
      <c r="F37" s="1428">
        <f t="shared" si="6"/>
        <v>791.32684843813297</v>
      </c>
      <c r="G37" s="1428">
        <f t="shared" si="6"/>
        <v>867.90686602892004</v>
      </c>
      <c r="H37" s="1428">
        <f t="shared" si="6"/>
        <v>944.48688361970699</v>
      </c>
      <c r="I37" s="1428">
        <f t="shared" si="6"/>
        <v>995.54022868023185</v>
      </c>
      <c r="J37" s="1428">
        <f t="shared" si="6"/>
        <v>995.54022868023185</v>
      </c>
      <c r="K37" s="1428">
        <f t="shared" si="6"/>
        <v>970.01355614996953</v>
      </c>
      <c r="L37" s="1428">
        <f t="shared" si="6"/>
        <v>1072.1202462710187</v>
      </c>
      <c r="M37" s="1428">
        <f t="shared" si="6"/>
        <v>1761.3404045881025</v>
      </c>
      <c r="N37" s="1428">
        <f t="shared" si="6"/>
        <v>1837.9204221788893</v>
      </c>
      <c r="O37" s="1429">
        <f>'MK Bases Model (Base Case)'!B16</f>
        <v>12788.862937661439</v>
      </c>
    </row>
    <row r="38" spans="1:15" ht="19" customHeight="1">
      <c r="A38" s="1430" t="s">
        <v>594</v>
      </c>
      <c r="B38" s="1431"/>
      <c r="C38" s="1431"/>
      <c r="D38" s="1431"/>
      <c r="E38" s="1431"/>
      <c r="F38" s="1431"/>
      <c r="G38" s="1431"/>
      <c r="H38" s="1431"/>
      <c r="I38" s="1431"/>
      <c r="J38" s="1431"/>
      <c r="K38" s="1431"/>
      <c r="L38" s="1431"/>
      <c r="M38" s="1431"/>
      <c r="N38" s="1431"/>
      <c r="O38" s="1432"/>
    </row>
    <row r="39" spans="1:15" ht="19" customHeight="1">
      <c r="A39" s="1433" t="s">
        <v>945</v>
      </c>
      <c r="B39" s="1434"/>
      <c r="C39" s="1435">
        <f t="shared" ref="C39:N39" si="7">$C$3</f>
        <v>1280</v>
      </c>
      <c r="D39" s="1435">
        <f t="shared" si="7"/>
        <v>1280</v>
      </c>
      <c r="E39" s="1435">
        <f t="shared" si="7"/>
        <v>1280</v>
      </c>
      <c r="F39" s="1435">
        <f t="shared" si="7"/>
        <v>1280</v>
      </c>
      <c r="G39" s="1435">
        <f t="shared" si="7"/>
        <v>1280</v>
      </c>
      <c r="H39" s="1435">
        <f t="shared" si="7"/>
        <v>1280</v>
      </c>
      <c r="I39" s="1435">
        <f t="shared" si="7"/>
        <v>1280</v>
      </c>
      <c r="J39" s="1435">
        <f t="shared" si="7"/>
        <v>1280</v>
      </c>
      <c r="K39" s="1435">
        <f t="shared" si="7"/>
        <v>1280</v>
      </c>
      <c r="L39" s="1435">
        <f t="shared" si="7"/>
        <v>1280</v>
      </c>
      <c r="M39" s="1435">
        <f t="shared" si="7"/>
        <v>1280</v>
      </c>
      <c r="N39" s="1435">
        <f t="shared" si="7"/>
        <v>1280</v>
      </c>
      <c r="O39" s="1436">
        <f>SUM(C39:N39)</f>
        <v>15360</v>
      </c>
    </row>
    <row r="40" spans="1:15" ht="19" customHeight="1">
      <c r="A40" s="1433" t="s">
        <v>505</v>
      </c>
      <c r="B40" s="1434"/>
      <c r="C40" s="1434">
        <f t="shared" ref="C40:K40" si="8">IF(C39&gt;C37,0,C37-C39)</f>
        <v>0</v>
      </c>
      <c r="D40" s="1434">
        <f t="shared" si="8"/>
        <v>0</v>
      </c>
      <c r="E40" s="1434">
        <f t="shared" si="8"/>
        <v>0</v>
      </c>
      <c r="F40" s="1434">
        <f t="shared" si="8"/>
        <v>0</v>
      </c>
      <c r="G40" s="1434">
        <f t="shared" si="8"/>
        <v>0</v>
      </c>
      <c r="H40" s="1434">
        <f t="shared" si="8"/>
        <v>0</v>
      </c>
      <c r="I40" s="1434">
        <f t="shared" si="8"/>
        <v>0</v>
      </c>
      <c r="J40" s="1434">
        <f t="shared" si="8"/>
        <v>0</v>
      </c>
      <c r="K40" s="1434">
        <f t="shared" si="8"/>
        <v>0</v>
      </c>
      <c r="L40" s="1434">
        <v>0</v>
      </c>
      <c r="M40" s="1434">
        <v>0</v>
      </c>
      <c r="N40" s="1434">
        <v>0</v>
      </c>
      <c r="O40" s="1449">
        <f>SUM(C40:N40)</f>
        <v>0</v>
      </c>
    </row>
    <row r="41" spans="1:15" ht="19" customHeight="1">
      <c r="A41" s="1433" t="s">
        <v>946</v>
      </c>
      <c r="B41" s="1431"/>
      <c r="C41" s="1431"/>
      <c r="D41" s="1431"/>
      <c r="E41" s="1431"/>
      <c r="F41" s="1431"/>
      <c r="G41" s="1431"/>
      <c r="H41" s="1431"/>
      <c r="I41" s="1431"/>
      <c r="J41" s="1431"/>
      <c r="K41" s="1431"/>
      <c r="L41" s="1431"/>
      <c r="M41" s="1431"/>
      <c r="N41" s="1431"/>
      <c r="O41" s="1432"/>
    </row>
    <row r="42" spans="1:15" ht="19" customHeight="1">
      <c r="A42" s="1437" t="s">
        <v>603</v>
      </c>
      <c r="B42" s="1438"/>
      <c r="C42" s="1450">
        <f t="shared" ref="C42:N42" si="9">SUM(C39:C41)-C37</f>
        <v>386.56646144081765</v>
      </c>
      <c r="D42" s="1450">
        <f t="shared" si="9"/>
        <v>590.77984168291641</v>
      </c>
      <c r="E42" s="1450">
        <f t="shared" si="9"/>
        <v>309.98644385003013</v>
      </c>
      <c r="F42" s="1450">
        <f t="shared" si="9"/>
        <v>488.67315156186703</v>
      </c>
      <c r="G42" s="1450">
        <f t="shared" si="9"/>
        <v>412.09313397107996</v>
      </c>
      <c r="H42" s="1450">
        <f t="shared" si="9"/>
        <v>335.51311638029301</v>
      </c>
      <c r="I42" s="1450">
        <f t="shared" si="9"/>
        <v>284.45977131976815</v>
      </c>
      <c r="J42" s="1450">
        <f t="shared" si="9"/>
        <v>284.45977131976815</v>
      </c>
      <c r="K42" s="1450">
        <f t="shared" si="9"/>
        <v>309.98644385003047</v>
      </c>
      <c r="L42" s="1451">
        <f t="shared" si="9"/>
        <v>207.87975372898131</v>
      </c>
      <c r="M42" s="1451">
        <f t="shared" si="9"/>
        <v>-481.3404045881025</v>
      </c>
      <c r="N42" s="1451">
        <f t="shared" si="9"/>
        <v>-557.92042217888934</v>
      </c>
      <c r="O42" s="1439">
        <f>SUM(C42:N42)</f>
        <v>2571.1370623385601</v>
      </c>
    </row>
    <row r="43" spans="1:15" ht="19" customHeight="1">
      <c r="A43" s="1452" t="s">
        <v>605</v>
      </c>
      <c r="B43" s="1453"/>
      <c r="C43" s="1453"/>
      <c r="D43" s="1453"/>
      <c r="E43" s="1453"/>
      <c r="F43" s="1453"/>
      <c r="G43" s="1453"/>
      <c r="H43" s="1453"/>
      <c r="I43" s="1453"/>
      <c r="J43" s="1453"/>
      <c r="K43" s="1453"/>
      <c r="L43" s="1453"/>
      <c r="M43" s="1453"/>
      <c r="N43" s="1453"/>
      <c r="O43" s="1454"/>
    </row>
    <row r="44" spans="1:15" ht="19" customHeight="1">
      <c r="A44" s="1455" t="s">
        <v>947</v>
      </c>
      <c r="B44" s="1453"/>
      <c r="C44" s="1453">
        <v>0</v>
      </c>
      <c r="D44" s="1456">
        <f t="shared" ref="D44:N44" si="10">C45</f>
        <v>386.56646144081765</v>
      </c>
      <c r="E44" s="1456">
        <f t="shared" si="10"/>
        <v>977.34630312373406</v>
      </c>
      <c r="F44" s="1456">
        <f t="shared" si="10"/>
        <v>1287.3327469737642</v>
      </c>
      <c r="G44" s="1456">
        <f t="shared" si="10"/>
        <v>1776.0058985356313</v>
      </c>
      <c r="H44" s="1456">
        <f t="shared" si="10"/>
        <v>2188.0990325067114</v>
      </c>
      <c r="I44" s="1456">
        <f t="shared" si="10"/>
        <v>2523.6121488870044</v>
      </c>
      <c r="J44" s="1456">
        <f t="shared" si="10"/>
        <v>2808.0719202067726</v>
      </c>
      <c r="K44" s="1456">
        <f t="shared" si="10"/>
        <v>3092.5316915265407</v>
      </c>
      <c r="L44" s="1456">
        <f t="shared" si="10"/>
        <v>3402.5181353765711</v>
      </c>
      <c r="M44" s="1456">
        <f t="shared" si="10"/>
        <v>3610.3978891055522</v>
      </c>
      <c r="N44" s="1456">
        <f t="shared" si="10"/>
        <v>3129.0574845174497</v>
      </c>
      <c r="O44" s="1454"/>
    </row>
    <row r="45" spans="1:15" ht="19" customHeight="1">
      <c r="A45" s="1455" t="s">
        <v>948</v>
      </c>
      <c r="B45" s="1453"/>
      <c r="C45" s="1456">
        <f t="shared" ref="C45:N45" si="11">MAX(C44+C42,0)</f>
        <v>386.56646144081765</v>
      </c>
      <c r="D45" s="1456">
        <f t="shared" si="11"/>
        <v>977.34630312373406</v>
      </c>
      <c r="E45" s="1456">
        <f t="shared" si="11"/>
        <v>1287.3327469737642</v>
      </c>
      <c r="F45" s="1456">
        <f t="shared" si="11"/>
        <v>1776.0058985356313</v>
      </c>
      <c r="G45" s="1456">
        <f t="shared" si="11"/>
        <v>2188.0990325067114</v>
      </c>
      <c r="H45" s="1456">
        <f t="shared" si="11"/>
        <v>2523.6121488870044</v>
      </c>
      <c r="I45" s="1456">
        <f t="shared" si="11"/>
        <v>2808.0719202067726</v>
      </c>
      <c r="J45" s="1456">
        <f t="shared" si="11"/>
        <v>3092.5316915265407</v>
      </c>
      <c r="K45" s="1456">
        <f t="shared" si="11"/>
        <v>3402.5181353765711</v>
      </c>
      <c r="L45" s="1456">
        <f t="shared" si="11"/>
        <v>3610.3978891055522</v>
      </c>
      <c r="M45" s="1456">
        <f t="shared" si="11"/>
        <v>3129.0574845174497</v>
      </c>
      <c r="N45" s="1456">
        <f t="shared" si="11"/>
        <v>2571.1370623385601</v>
      </c>
      <c r="O45" s="1454"/>
    </row>
    <row r="46" spans="1:15" ht="19" customHeight="1">
      <c r="A46" s="1455" t="s">
        <v>949</v>
      </c>
      <c r="B46" s="1456"/>
      <c r="C46" s="1456">
        <f t="shared" ref="C46:N46" si="12">AVERAGE(C44:C45)</f>
        <v>193.28323072040882</v>
      </c>
      <c r="D46" s="1456">
        <f t="shared" si="12"/>
        <v>681.95638228227585</v>
      </c>
      <c r="E46" s="1456">
        <f t="shared" si="12"/>
        <v>1132.3395250487492</v>
      </c>
      <c r="F46" s="1456">
        <f t="shared" si="12"/>
        <v>1531.6693227546978</v>
      </c>
      <c r="G46" s="1456">
        <f t="shared" si="12"/>
        <v>1982.0524655211714</v>
      </c>
      <c r="H46" s="1456">
        <f t="shared" si="12"/>
        <v>2355.8555906968577</v>
      </c>
      <c r="I46" s="1456">
        <f t="shared" si="12"/>
        <v>2665.8420345468885</v>
      </c>
      <c r="J46" s="1456">
        <f t="shared" si="12"/>
        <v>2950.3018058666567</v>
      </c>
      <c r="K46" s="1456">
        <f t="shared" si="12"/>
        <v>3247.5249134515561</v>
      </c>
      <c r="L46" s="1456">
        <f t="shared" si="12"/>
        <v>3506.4580122410616</v>
      </c>
      <c r="M46" s="1456">
        <f t="shared" si="12"/>
        <v>3369.7276868115009</v>
      </c>
      <c r="N46" s="1456">
        <f t="shared" si="12"/>
        <v>2850.0972734280049</v>
      </c>
      <c r="O46" s="1457">
        <f>AVERAGE(C46:N46)</f>
        <v>2205.5923536141522</v>
      </c>
    </row>
    <row r="47" spans="1:15" ht="19" customHeight="1">
      <c r="A47" s="1458" t="s">
        <v>950</v>
      </c>
      <c r="B47" s="1459"/>
      <c r="C47" s="1460">
        <f t="shared" ref="C47:N47" si="13">MAX(B47-C42-C45,0)</f>
        <v>0</v>
      </c>
      <c r="D47" s="1460">
        <f t="shared" si="13"/>
        <v>0</v>
      </c>
      <c r="E47" s="1460">
        <f t="shared" si="13"/>
        <v>0</v>
      </c>
      <c r="F47" s="1460">
        <f t="shared" si="13"/>
        <v>0</v>
      </c>
      <c r="G47" s="1460">
        <f t="shared" si="13"/>
        <v>0</v>
      </c>
      <c r="H47" s="1460">
        <f t="shared" si="13"/>
        <v>0</v>
      </c>
      <c r="I47" s="1460">
        <f t="shared" si="13"/>
        <v>0</v>
      </c>
      <c r="J47" s="1460">
        <f t="shared" si="13"/>
        <v>0</v>
      </c>
      <c r="K47" s="1460">
        <f t="shared" si="13"/>
        <v>0</v>
      </c>
      <c r="L47" s="1460">
        <f t="shared" si="13"/>
        <v>0</v>
      </c>
      <c r="M47" s="1460">
        <f t="shared" si="13"/>
        <v>0</v>
      </c>
      <c r="N47" s="1460">
        <f t="shared" si="13"/>
        <v>0</v>
      </c>
      <c r="O47" s="1461">
        <f>SUM(C47:N47)</f>
        <v>0</v>
      </c>
    </row>
    <row r="48" spans="1:15" ht="19" customHeight="1">
      <c r="A48" s="1485" t="s">
        <v>636</v>
      </c>
      <c r="B48" s="1486"/>
      <c r="C48" s="1486"/>
      <c r="D48" s="1486"/>
      <c r="E48" s="1486"/>
      <c r="F48" s="1486"/>
      <c r="G48" s="1486"/>
      <c r="H48" s="1486"/>
      <c r="I48" s="1486"/>
      <c r="J48" s="1486"/>
      <c r="K48" s="1486"/>
      <c r="L48" s="1486"/>
      <c r="M48" s="1486"/>
      <c r="N48" s="1486"/>
      <c r="O48" s="1487"/>
    </row>
    <row r="49" spans="1:15" ht="19" customHeight="1">
      <c r="A49" s="1485" t="s">
        <v>951</v>
      </c>
      <c r="B49" s="1486"/>
      <c r="C49" s="1486"/>
      <c r="D49" s="1486"/>
      <c r="E49" s="1486"/>
      <c r="F49" s="1486"/>
      <c r="G49" s="1486"/>
      <c r="H49" s="1486"/>
      <c r="I49" s="1486"/>
      <c r="J49" s="1486"/>
      <c r="K49" s="1486"/>
      <c r="L49" s="1486"/>
      <c r="M49" s="1486"/>
      <c r="N49" s="1486"/>
      <c r="O49" s="1487"/>
    </row>
    <row r="50" spans="1:15" ht="19" customHeight="1">
      <c r="A50" s="1488" t="s">
        <v>945</v>
      </c>
      <c r="B50" s="1489"/>
      <c r="C50" s="1489">
        <f t="shared" ref="C50:O50" si="14">$C$5*C39</f>
        <v>4160</v>
      </c>
      <c r="D50" s="1489">
        <f t="shared" si="14"/>
        <v>4160</v>
      </c>
      <c r="E50" s="1489">
        <f t="shared" si="14"/>
        <v>4160</v>
      </c>
      <c r="F50" s="1489">
        <f t="shared" si="14"/>
        <v>4160</v>
      </c>
      <c r="G50" s="1489">
        <f t="shared" si="14"/>
        <v>4160</v>
      </c>
      <c r="H50" s="1489">
        <f t="shared" si="14"/>
        <v>4160</v>
      </c>
      <c r="I50" s="1489">
        <f t="shared" si="14"/>
        <v>4160</v>
      </c>
      <c r="J50" s="1489">
        <f t="shared" si="14"/>
        <v>4160</v>
      </c>
      <c r="K50" s="1489">
        <f t="shared" si="14"/>
        <v>4160</v>
      </c>
      <c r="L50" s="1489">
        <f t="shared" si="14"/>
        <v>4160</v>
      </c>
      <c r="M50" s="1489">
        <f t="shared" si="14"/>
        <v>4160</v>
      </c>
      <c r="N50" s="1489">
        <f t="shared" si="14"/>
        <v>4160</v>
      </c>
      <c r="O50" s="1490">
        <f t="shared" si="14"/>
        <v>49920</v>
      </c>
    </row>
    <row r="51" spans="1:15" ht="19" customHeight="1">
      <c r="A51" s="1488" t="s">
        <v>505</v>
      </c>
      <c r="B51" s="1489"/>
      <c r="C51" s="1489">
        <f t="shared" ref="C51:N51" si="15">$C$7*C40</f>
        <v>0</v>
      </c>
      <c r="D51" s="1489">
        <f t="shared" si="15"/>
        <v>0</v>
      </c>
      <c r="E51" s="1489">
        <f t="shared" si="15"/>
        <v>0</v>
      </c>
      <c r="F51" s="1489">
        <f t="shared" si="15"/>
        <v>0</v>
      </c>
      <c r="G51" s="1489">
        <f t="shared" si="15"/>
        <v>0</v>
      </c>
      <c r="H51" s="1489">
        <f t="shared" si="15"/>
        <v>0</v>
      </c>
      <c r="I51" s="1489">
        <f t="shared" si="15"/>
        <v>0</v>
      </c>
      <c r="J51" s="1489">
        <f t="shared" si="15"/>
        <v>0</v>
      </c>
      <c r="K51" s="1489">
        <f t="shared" si="15"/>
        <v>0</v>
      </c>
      <c r="L51" s="1489">
        <f t="shared" si="15"/>
        <v>0</v>
      </c>
      <c r="M51" s="1489">
        <f t="shared" si="15"/>
        <v>0</v>
      </c>
      <c r="N51" s="1489">
        <f t="shared" si="15"/>
        <v>0</v>
      </c>
      <c r="O51" s="1490">
        <f>SUM(C51:N51)</f>
        <v>0</v>
      </c>
    </row>
    <row r="52" spans="1:15" ht="19" customHeight="1">
      <c r="A52" s="1488" t="s">
        <v>946</v>
      </c>
      <c r="B52" s="1491"/>
      <c r="C52" s="1491">
        <f>0</f>
        <v>0</v>
      </c>
      <c r="D52" s="1491">
        <f>0</f>
        <v>0</v>
      </c>
      <c r="E52" s="1491">
        <f>0</f>
        <v>0</v>
      </c>
      <c r="F52" s="1491">
        <f>0</f>
        <v>0</v>
      </c>
      <c r="G52" s="1491">
        <f>0</f>
        <v>0</v>
      </c>
      <c r="H52" s="1491">
        <f>0</f>
        <v>0</v>
      </c>
      <c r="I52" s="1491">
        <f>0</f>
        <v>0</v>
      </c>
      <c r="J52" s="1491">
        <f>0</f>
        <v>0</v>
      </c>
      <c r="K52" s="1491">
        <f>0</f>
        <v>0</v>
      </c>
      <c r="L52" s="1491">
        <f>0</f>
        <v>0</v>
      </c>
      <c r="M52" s="1491">
        <f>0</f>
        <v>0</v>
      </c>
      <c r="N52" s="1491">
        <f>0</f>
        <v>0</v>
      </c>
      <c r="O52" s="1492">
        <f>0</f>
        <v>0</v>
      </c>
    </row>
    <row r="53" spans="1:15" ht="19" customHeight="1">
      <c r="A53" s="1496" t="s">
        <v>605</v>
      </c>
      <c r="B53" s="1497"/>
      <c r="C53" s="1498">
        <f t="shared" ref="C53:N53" si="16">$C$9*C46</f>
        <v>62.817049984132872</v>
      </c>
      <c r="D53" s="1498">
        <f t="shared" si="16"/>
        <v>221.63582424173967</v>
      </c>
      <c r="E53" s="1498">
        <f t="shared" si="16"/>
        <v>368.01034564084352</v>
      </c>
      <c r="F53" s="1498">
        <f t="shared" si="16"/>
        <v>497.7925298952768</v>
      </c>
      <c r="G53" s="1498">
        <f t="shared" si="16"/>
        <v>644.16705129438071</v>
      </c>
      <c r="H53" s="1498">
        <f t="shared" si="16"/>
        <v>765.65306697647873</v>
      </c>
      <c r="I53" s="1498">
        <f t="shared" si="16"/>
        <v>866.39866122773878</v>
      </c>
      <c r="J53" s="1498">
        <f t="shared" si="16"/>
        <v>958.84808690666341</v>
      </c>
      <c r="K53" s="1498">
        <f t="shared" si="16"/>
        <v>1055.4455968717557</v>
      </c>
      <c r="L53" s="1498">
        <f t="shared" si="16"/>
        <v>1139.598853978345</v>
      </c>
      <c r="M53" s="1498">
        <f t="shared" si="16"/>
        <v>1095.1614982137378</v>
      </c>
      <c r="N53" s="1498">
        <f t="shared" si="16"/>
        <v>926.28161386410159</v>
      </c>
      <c r="O53" s="1499">
        <f>SUM(C53:N53)</f>
        <v>8601.8101790951951</v>
      </c>
    </row>
    <row r="54" spans="1:15" ht="19" customHeight="1" thickBot="1">
      <c r="A54" s="1504" t="s">
        <v>381</v>
      </c>
      <c r="B54" s="1505"/>
      <c r="C54" s="1505">
        <f t="shared" ref="C54:O54" si="17">SUM(C50:C53)</f>
        <v>4222.8170499841326</v>
      </c>
      <c r="D54" s="1505">
        <f t="shared" si="17"/>
        <v>4381.63582424174</v>
      </c>
      <c r="E54" s="1505">
        <f t="shared" si="17"/>
        <v>4528.0103456408433</v>
      </c>
      <c r="F54" s="1505">
        <f t="shared" si="17"/>
        <v>4657.7925298952769</v>
      </c>
      <c r="G54" s="1505">
        <f t="shared" si="17"/>
        <v>4804.1670512943811</v>
      </c>
      <c r="H54" s="1505">
        <f t="shared" si="17"/>
        <v>4925.6530669764788</v>
      </c>
      <c r="I54" s="1505">
        <f t="shared" si="17"/>
        <v>5026.3986612277386</v>
      </c>
      <c r="J54" s="1505">
        <f t="shared" si="17"/>
        <v>5118.8480869066634</v>
      </c>
      <c r="K54" s="1505">
        <f t="shared" si="17"/>
        <v>5215.4455968717557</v>
      </c>
      <c r="L54" s="1505">
        <f t="shared" si="17"/>
        <v>5299.5988539783448</v>
      </c>
      <c r="M54" s="1505">
        <f t="shared" si="17"/>
        <v>5255.161498213738</v>
      </c>
      <c r="N54" s="1505">
        <f t="shared" si="17"/>
        <v>5086.2816138641019</v>
      </c>
      <c r="O54" s="1506">
        <f t="shared" si="17"/>
        <v>58521.810179095191</v>
      </c>
    </row>
    <row r="55" spans="1:15" ht="19" customHeight="1">
      <c r="A55" s="1603"/>
      <c r="B55" s="1603"/>
      <c r="C55" s="1603"/>
      <c r="D55" s="1603"/>
      <c r="E55" s="1603"/>
      <c r="F55" s="1603"/>
      <c r="G55" s="1603"/>
      <c r="H55" s="1603"/>
      <c r="I55" s="1603"/>
      <c r="J55" s="1603"/>
      <c r="K55" s="1603"/>
      <c r="L55" s="1603"/>
      <c r="M55" s="1603"/>
      <c r="N55" s="1603"/>
      <c r="O55" s="1603"/>
    </row>
    <row r="56" spans="1:15" ht="19" customHeight="1">
      <c r="A56" s="1681"/>
      <c r="B56" s="1448"/>
      <c r="C56" s="1448"/>
      <c r="D56" s="1629"/>
      <c r="E56" s="1629"/>
      <c r="F56" s="1629"/>
      <c r="G56" s="1629"/>
      <c r="H56" s="1629"/>
      <c r="I56" s="1629"/>
      <c r="J56" s="1629"/>
      <c r="K56" s="1629"/>
      <c r="L56" s="1629"/>
      <c r="M56" s="1629"/>
      <c r="N56" s="1629"/>
      <c r="O56" s="1629"/>
    </row>
    <row r="57" spans="1:15" ht="19" customHeight="1" thickBot="1">
      <c r="A57" s="1634"/>
      <c r="B57" s="1448"/>
      <c r="C57" s="1448"/>
      <c r="D57" s="1448"/>
      <c r="E57" s="1448"/>
      <c r="F57" s="1448"/>
      <c r="G57" s="1448"/>
      <c r="H57" s="1448"/>
      <c r="I57" s="1448"/>
      <c r="J57" s="1448"/>
      <c r="K57" s="1448"/>
      <c r="L57" s="1448"/>
      <c r="M57" s="1448"/>
      <c r="N57" s="1448"/>
      <c r="O57" s="1448"/>
    </row>
    <row r="58" spans="1:15" ht="51" customHeight="1">
      <c r="A58" s="2059" t="s">
        <v>943</v>
      </c>
      <c r="B58" s="2060"/>
      <c r="C58" s="1705">
        <f>4*8*8*20</f>
        <v>5120</v>
      </c>
      <c r="D58" s="1474" t="s">
        <v>952</v>
      </c>
      <c r="E58" s="1634"/>
      <c r="F58" s="1634"/>
      <c r="G58" s="1634"/>
      <c r="H58" s="1634"/>
      <c r="I58" s="1634"/>
      <c r="J58" s="1634"/>
      <c r="K58" s="1634"/>
      <c r="L58" s="1634"/>
      <c r="M58" s="1634"/>
      <c r="N58" s="1634"/>
      <c r="O58" s="1634"/>
    </row>
    <row r="59" spans="1:15" ht="19" customHeight="1">
      <c r="A59" s="2061" t="s">
        <v>953</v>
      </c>
      <c r="B59" s="2062"/>
      <c r="C59" s="1704">
        <v>13</v>
      </c>
      <c r="D59" s="1472"/>
      <c r="E59" s="1634"/>
      <c r="F59" s="1634"/>
      <c r="G59" s="1634"/>
      <c r="H59" s="1634"/>
      <c r="I59" s="1634"/>
      <c r="J59" s="1634"/>
      <c r="K59" s="1634"/>
      <c r="L59" s="1634"/>
      <c r="M59" s="1634"/>
      <c r="N59" s="1634"/>
      <c r="O59" s="1634"/>
    </row>
    <row r="60" spans="1:15" ht="19" customHeight="1">
      <c r="A60" s="2063" t="s">
        <v>1093</v>
      </c>
      <c r="B60" s="2064"/>
      <c r="C60" s="1704">
        <f>C59/4</f>
        <v>3.25</v>
      </c>
      <c r="D60" s="1472"/>
      <c r="E60" s="1634"/>
      <c r="F60" s="1634"/>
      <c r="G60" s="1634"/>
      <c r="H60" s="1634"/>
      <c r="I60" s="1634"/>
      <c r="J60" s="1634"/>
      <c r="K60" s="1634"/>
      <c r="L60" s="1634"/>
      <c r="M60" s="1634"/>
      <c r="N60" s="1634"/>
      <c r="O60" s="1634"/>
    </row>
    <row r="61" spans="1:15" ht="19" customHeight="1">
      <c r="A61" s="2061" t="s">
        <v>954</v>
      </c>
      <c r="B61" s="2062"/>
      <c r="C61" s="1704">
        <f>C59*1.5</f>
        <v>19.5</v>
      </c>
      <c r="D61" s="1472"/>
      <c r="E61" s="1634"/>
      <c r="F61" s="1634"/>
      <c r="G61" s="1634"/>
      <c r="H61" s="1634"/>
      <c r="I61" s="1634"/>
      <c r="J61" s="1634"/>
      <c r="K61" s="1634"/>
      <c r="L61" s="1634"/>
      <c r="M61" s="1634"/>
      <c r="N61" s="1634"/>
      <c r="O61" s="1634"/>
    </row>
    <row r="62" spans="1:15" ht="19" customHeight="1">
      <c r="A62" s="2063" t="s">
        <v>1092</v>
      </c>
      <c r="B62" s="2064"/>
      <c r="C62" s="1704">
        <f>C61/4</f>
        <v>4.875</v>
      </c>
      <c r="D62" s="1472"/>
      <c r="E62" s="1634"/>
      <c r="F62" s="1634"/>
      <c r="G62" s="1634"/>
      <c r="H62" s="1634"/>
      <c r="I62" s="1634"/>
      <c r="J62" s="1634"/>
      <c r="K62" s="1634"/>
      <c r="L62" s="1634"/>
      <c r="M62" s="1634"/>
      <c r="N62" s="1634"/>
      <c r="O62" s="1634"/>
    </row>
    <row r="63" spans="1:15" ht="19" customHeight="1">
      <c r="A63" s="2061" t="s">
        <v>593</v>
      </c>
      <c r="B63" s="2062"/>
      <c r="C63" s="1469">
        <v>0</v>
      </c>
      <c r="D63" s="1472"/>
      <c r="E63" s="1634"/>
      <c r="F63" s="1634"/>
      <c r="G63" s="1634"/>
      <c r="H63" s="1634"/>
      <c r="I63" s="1634"/>
      <c r="J63" s="1634"/>
      <c r="K63" s="1634"/>
      <c r="L63" s="1634"/>
      <c r="M63" s="1634"/>
      <c r="N63" s="1634"/>
      <c r="O63" s="1634"/>
    </row>
    <row r="64" spans="1:15" ht="19" customHeight="1" thickBot="1">
      <c r="A64" s="2054" t="s">
        <v>597</v>
      </c>
      <c r="B64" s="2055"/>
      <c r="C64" s="1703">
        <f>C59*0.3/12</f>
        <v>0.32500000000000001</v>
      </c>
      <c r="D64" s="1473" t="s">
        <v>598</v>
      </c>
      <c r="E64" s="1634"/>
      <c r="F64" s="1634"/>
      <c r="G64" s="1634"/>
      <c r="H64" s="1634"/>
      <c r="I64" s="1634"/>
      <c r="J64" s="1634"/>
      <c r="K64" s="1634"/>
      <c r="L64" s="1634"/>
      <c r="M64" s="1634"/>
      <c r="N64" s="1634"/>
      <c r="O64" s="1634"/>
    </row>
    <row r="65" spans="1:15" ht="19" customHeight="1" thickBot="1">
      <c r="A65" s="1589"/>
      <c r="B65" s="1421"/>
      <c r="C65" s="1421"/>
      <c r="D65" s="1421"/>
      <c r="E65" s="1634"/>
      <c r="F65" s="1634"/>
      <c r="G65" s="1634"/>
      <c r="H65" s="1634"/>
      <c r="I65" s="1634"/>
      <c r="J65" s="1634"/>
      <c r="K65" s="1634"/>
      <c r="L65" s="1634"/>
      <c r="M65" s="1634"/>
      <c r="N65" s="1634"/>
      <c r="O65" s="1634"/>
    </row>
    <row r="66" spans="1:15" ht="19" customHeight="1" thickBot="1">
      <c r="A66" s="1735" t="s">
        <v>957</v>
      </c>
      <c r="B66" s="2056" t="s">
        <v>726</v>
      </c>
      <c r="C66" s="2057"/>
      <c r="D66" s="2057"/>
      <c r="E66" s="2057"/>
      <c r="F66" s="2057"/>
      <c r="G66" s="2057"/>
      <c r="H66" s="2057"/>
      <c r="I66" s="2057"/>
      <c r="J66" s="2057"/>
      <c r="K66" s="2057"/>
      <c r="L66" s="2057"/>
      <c r="M66" s="2057"/>
      <c r="N66" s="2057"/>
      <c r="O66" s="2058"/>
    </row>
    <row r="67" spans="1:15" ht="19" customHeight="1">
      <c r="A67" s="1422"/>
      <c r="B67" s="1423"/>
      <c r="C67" s="1423">
        <v>1</v>
      </c>
      <c r="D67" s="1423">
        <v>2</v>
      </c>
      <c r="E67" s="1423">
        <v>3</v>
      </c>
      <c r="F67" s="1423">
        <v>4</v>
      </c>
      <c r="G67" s="1423">
        <v>5</v>
      </c>
      <c r="H67" s="1423">
        <v>6</v>
      </c>
      <c r="I67" s="1423">
        <v>7</v>
      </c>
      <c r="J67" s="1423">
        <v>8</v>
      </c>
      <c r="K67" s="1423">
        <v>9</v>
      </c>
      <c r="L67" s="1423">
        <v>10</v>
      </c>
      <c r="M67" s="1423">
        <v>11</v>
      </c>
      <c r="N67" s="1423">
        <v>12</v>
      </c>
      <c r="O67" s="1424" t="s">
        <v>381</v>
      </c>
    </row>
    <row r="68" spans="1:15" ht="19" customHeight="1">
      <c r="A68" s="1422" t="s">
        <v>586</v>
      </c>
      <c r="B68" s="1425"/>
      <c r="C68" s="1425">
        <v>6.9860279441117765E-2</v>
      </c>
      <c r="D68" s="1425">
        <v>5.3892215568862277E-2</v>
      </c>
      <c r="E68" s="1425">
        <v>7.5848303393213579E-2</v>
      </c>
      <c r="F68" s="1425">
        <v>6.1876247504990017E-2</v>
      </c>
      <c r="G68" s="1425">
        <v>6.7864271457085831E-2</v>
      </c>
      <c r="H68" s="1425">
        <v>7.3852295409181631E-2</v>
      </c>
      <c r="I68" s="1425">
        <v>7.7844311377245512E-2</v>
      </c>
      <c r="J68" s="1425">
        <v>7.7844311377245512E-2</v>
      </c>
      <c r="K68" s="1425">
        <v>7.5848303393213579E-2</v>
      </c>
      <c r="L68" s="1425">
        <v>8.3832335329341312E-2</v>
      </c>
      <c r="M68" s="1425">
        <v>0.1377245508982036</v>
      </c>
      <c r="N68" s="1425">
        <v>0.1437125748502994</v>
      </c>
      <c r="O68" s="1426">
        <f>SUM(C68:N68)</f>
        <v>1</v>
      </c>
    </row>
    <row r="69" spans="1:15" ht="19" customHeight="1">
      <c r="A69" s="1427" t="s">
        <v>944</v>
      </c>
      <c r="B69" s="1428"/>
      <c r="C69" s="1428">
        <f t="shared" ref="C69:N69" si="18">C68*$O$69</f>
        <v>4986.9115285889293</v>
      </c>
      <c r="D69" s="1428">
        <f t="shared" si="18"/>
        <v>3847.0460363400316</v>
      </c>
      <c r="E69" s="1428">
        <f t="shared" si="18"/>
        <v>5414.3610881822669</v>
      </c>
      <c r="F69" s="1428">
        <f t="shared" si="18"/>
        <v>4416.97878246448</v>
      </c>
      <c r="G69" s="1428">
        <f t="shared" si="18"/>
        <v>4844.4283420578176</v>
      </c>
      <c r="H69" s="1428">
        <f t="shared" si="18"/>
        <v>5271.8779016511535</v>
      </c>
      <c r="I69" s="1428">
        <f t="shared" si="18"/>
        <v>5556.8442747133786</v>
      </c>
      <c r="J69" s="1428">
        <f t="shared" si="18"/>
        <v>5556.8442747133786</v>
      </c>
      <c r="K69" s="1428">
        <f t="shared" si="18"/>
        <v>5414.3610881822669</v>
      </c>
      <c r="L69" s="1428">
        <f t="shared" si="18"/>
        <v>5984.2938343067153</v>
      </c>
      <c r="M69" s="1428">
        <f t="shared" si="18"/>
        <v>9831.3398706467469</v>
      </c>
      <c r="N69" s="1428">
        <f t="shared" si="18"/>
        <v>10258.789430240084</v>
      </c>
      <c r="O69" s="1429">
        <f>'MK Bases Model (Base Case)'!F16</f>
        <v>71384.076452087247</v>
      </c>
    </row>
    <row r="70" spans="1:15" ht="19" customHeight="1">
      <c r="A70" s="1430" t="s">
        <v>594</v>
      </c>
      <c r="B70" s="1462"/>
      <c r="C70" s="1462"/>
      <c r="D70" s="1462"/>
      <c r="E70" s="1462"/>
      <c r="F70" s="1462"/>
      <c r="G70" s="1462"/>
      <c r="H70" s="1462"/>
      <c r="I70" s="1462"/>
      <c r="J70" s="1462"/>
      <c r="K70" s="1462"/>
      <c r="L70" s="1462"/>
      <c r="M70" s="1462"/>
      <c r="N70" s="1462"/>
      <c r="O70" s="1432"/>
    </row>
    <row r="71" spans="1:15" ht="19" customHeight="1">
      <c r="A71" s="1433" t="s">
        <v>945</v>
      </c>
      <c r="B71" s="1435"/>
      <c r="C71" s="1435">
        <f t="shared" ref="C71:N71" si="19">IF(C69&lt;$C$58,C69,$C$58)</f>
        <v>4986.9115285889293</v>
      </c>
      <c r="D71" s="1435">
        <f t="shared" si="19"/>
        <v>3847.0460363400316</v>
      </c>
      <c r="E71" s="1435">
        <f t="shared" si="19"/>
        <v>5120</v>
      </c>
      <c r="F71" s="1435">
        <f t="shared" si="19"/>
        <v>4416.97878246448</v>
      </c>
      <c r="G71" s="1435">
        <f t="shared" si="19"/>
        <v>4844.4283420578176</v>
      </c>
      <c r="H71" s="1435">
        <f t="shared" si="19"/>
        <v>5120</v>
      </c>
      <c r="I71" s="1435">
        <f t="shared" si="19"/>
        <v>5120</v>
      </c>
      <c r="J71" s="1435">
        <f t="shared" si="19"/>
        <v>5120</v>
      </c>
      <c r="K71" s="1435">
        <f t="shared" si="19"/>
        <v>5120</v>
      </c>
      <c r="L71" s="1435">
        <f t="shared" si="19"/>
        <v>5120</v>
      </c>
      <c r="M71" s="1435">
        <f t="shared" si="19"/>
        <v>5120</v>
      </c>
      <c r="N71" s="1435">
        <f t="shared" si="19"/>
        <v>5120</v>
      </c>
      <c r="O71" s="1436">
        <f>SUM(C71:N71)</f>
        <v>59055.364689451264</v>
      </c>
    </row>
    <row r="72" spans="1:15" ht="19" customHeight="1">
      <c r="A72" s="1433" t="s">
        <v>505</v>
      </c>
      <c r="B72" s="1435"/>
      <c r="C72" s="1435">
        <f t="shared" ref="C72:N72" si="20">IF(C71&gt;C69,0,C69-C71)</f>
        <v>0</v>
      </c>
      <c r="D72" s="1435">
        <f t="shared" si="20"/>
        <v>0</v>
      </c>
      <c r="E72" s="1435">
        <f t="shared" si="20"/>
        <v>294.36108818226694</v>
      </c>
      <c r="F72" s="1435">
        <f t="shared" si="20"/>
        <v>0</v>
      </c>
      <c r="G72" s="1435">
        <f t="shared" si="20"/>
        <v>0</v>
      </c>
      <c r="H72" s="1435">
        <f t="shared" si="20"/>
        <v>151.87790165115348</v>
      </c>
      <c r="I72" s="1435">
        <f t="shared" si="20"/>
        <v>436.84427471337858</v>
      </c>
      <c r="J72" s="1435">
        <f t="shared" si="20"/>
        <v>436.84427471337858</v>
      </c>
      <c r="K72" s="1435">
        <f t="shared" si="20"/>
        <v>294.36108818226694</v>
      </c>
      <c r="L72" s="1435">
        <f t="shared" si="20"/>
        <v>864.29383430671533</v>
      </c>
      <c r="M72" s="1435">
        <f t="shared" si="20"/>
        <v>4711.3398706467469</v>
      </c>
      <c r="N72" s="1435">
        <f t="shared" si="20"/>
        <v>5138.7894302400837</v>
      </c>
      <c r="O72" s="1436">
        <f>SUM(C72:N72)</f>
        <v>12328.71176263599</v>
      </c>
    </row>
    <row r="73" spans="1:15" ht="19" customHeight="1">
      <c r="A73" s="1433" t="s">
        <v>946</v>
      </c>
      <c r="B73" s="1431"/>
      <c r="C73" s="1431"/>
      <c r="D73" s="1431"/>
      <c r="E73" s="1431"/>
      <c r="F73" s="1431"/>
      <c r="G73" s="1431"/>
      <c r="H73" s="1431"/>
      <c r="I73" s="1431"/>
      <c r="J73" s="1431"/>
      <c r="K73" s="1431"/>
      <c r="L73" s="1431"/>
      <c r="M73" s="1431"/>
      <c r="N73" s="1431"/>
      <c r="O73" s="1432"/>
    </row>
    <row r="74" spans="1:15" ht="19" customHeight="1">
      <c r="A74" s="1437" t="s">
        <v>603</v>
      </c>
      <c r="B74" s="1438"/>
      <c r="C74" s="1438"/>
      <c r="D74" s="1438"/>
      <c r="E74" s="1438"/>
      <c r="F74" s="1438"/>
      <c r="G74" s="1438"/>
      <c r="H74" s="1438"/>
      <c r="I74" s="1438"/>
      <c r="J74" s="1438"/>
      <c r="K74" s="1438"/>
      <c r="L74" s="1438"/>
      <c r="M74" s="1438"/>
      <c r="N74" s="1438"/>
      <c r="O74" s="1439"/>
    </row>
    <row r="75" spans="1:15" ht="19" customHeight="1">
      <c r="A75" s="1440" t="s">
        <v>605</v>
      </c>
      <c r="B75" s="1441"/>
      <c r="C75" s="1441"/>
      <c r="D75" s="1441"/>
      <c r="E75" s="1441"/>
      <c r="F75" s="1441"/>
      <c r="G75" s="1441"/>
      <c r="H75" s="1441"/>
      <c r="I75" s="1441"/>
      <c r="J75" s="1441"/>
      <c r="K75" s="1441"/>
      <c r="L75" s="1441"/>
      <c r="M75" s="1441"/>
      <c r="N75" s="1441"/>
      <c r="O75" s="1442"/>
    </row>
    <row r="76" spans="1:15" ht="19" customHeight="1">
      <c r="A76" s="1443" t="s">
        <v>947</v>
      </c>
      <c r="B76" s="1441"/>
      <c r="C76" s="1441">
        <v>0</v>
      </c>
      <c r="D76" s="1441">
        <v>0</v>
      </c>
      <c r="E76" s="1441">
        <v>0</v>
      </c>
      <c r="F76" s="1441">
        <v>0</v>
      </c>
      <c r="G76" s="1441">
        <v>0</v>
      </c>
      <c r="H76" s="1441">
        <v>0</v>
      </c>
      <c r="I76" s="1441">
        <v>0</v>
      </c>
      <c r="J76" s="1441">
        <v>0</v>
      </c>
      <c r="K76" s="1441">
        <v>0</v>
      </c>
      <c r="L76" s="1441">
        <v>0</v>
      </c>
      <c r="M76" s="1441">
        <v>0</v>
      </c>
      <c r="N76" s="1441">
        <v>0</v>
      </c>
      <c r="O76" s="1442">
        <v>0</v>
      </c>
    </row>
    <row r="77" spans="1:15" ht="19" customHeight="1">
      <c r="A77" s="1443" t="s">
        <v>948</v>
      </c>
      <c r="B77" s="1441"/>
      <c r="C77" s="1441">
        <v>0</v>
      </c>
      <c r="D77" s="1441">
        <v>0</v>
      </c>
      <c r="E77" s="1441">
        <v>0</v>
      </c>
      <c r="F77" s="1441">
        <v>0</v>
      </c>
      <c r="G77" s="1441">
        <v>0</v>
      </c>
      <c r="H77" s="1441">
        <v>0</v>
      </c>
      <c r="I77" s="1441">
        <v>0</v>
      </c>
      <c r="J77" s="1441">
        <v>0</v>
      </c>
      <c r="K77" s="1441">
        <v>0</v>
      </c>
      <c r="L77" s="1441">
        <v>0</v>
      </c>
      <c r="M77" s="1441">
        <v>0</v>
      </c>
      <c r="N77" s="1441">
        <v>0</v>
      </c>
      <c r="O77" s="1442">
        <v>0</v>
      </c>
    </row>
    <row r="78" spans="1:15" ht="19" customHeight="1">
      <c r="A78" s="1443" t="s">
        <v>949</v>
      </c>
      <c r="B78" s="1441"/>
      <c r="C78" s="1441">
        <v>0</v>
      </c>
      <c r="D78" s="1441">
        <v>0</v>
      </c>
      <c r="E78" s="1441">
        <v>0</v>
      </c>
      <c r="F78" s="1441">
        <v>0</v>
      </c>
      <c r="G78" s="1441">
        <v>0</v>
      </c>
      <c r="H78" s="1441">
        <v>0</v>
      </c>
      <c r="I78" s="1441">
        <v>0</v>
      </c>
      <c r="J78" s="1441">
        <v>0</v>
      </c>
      <c r="K78" s="1441">
        <v>0</v>
      </c>
      <c r="L78" s="1441">
        <v>0</v>
      </c>
      <c r="M78" s="1441">
        <v>0</v>
      </c>
      <c r="N78" s="1441">
        <v>0</v>
      </c>
      <c r="O78" s="1442">
        <v>0</v>
      </c>
    </row>
    <row r="79" spans="1:15" ht="19" customHeight="1">
      <c r="A79" s="1444" t="s">
        <v>950</v>
      </c>
      <c r="B79" s="1445"/>
      <c r="C79" s="1445">
        <v>0</v>
      </c>
      <c r="D79" s="1445">
        <v>0</v>
      </c>
      <c r="E79" s="1445">
        <v>0</v>
      </c>
      <c r="F79" s="1445">
        <v>0</v>
      </c>
      <c r="G79" s="1445">
        <v>0</v>
      </c>
      <c r="H79" s="1445">
        <v>0</v>
      </c>
      <c r="I79" s="1445">
        <v>0</v>
      </c>
      <c r="J79" s="1445">
        <v>0</v>
      </c>
      <c r="K79" s="1445">
        <v>0</v>
      </c>
      <c r="L79" s="1445">
        <v>0</v>
      </c>
      <c r="M79" s="1445">
        <v>0</v>
      </c>
      <c r="N79" s="1445">
        <v>0</v>
      </c>
      <c r="O79" s="1446">
        <v>0</v>
      </c>
    </row>
    <row r="80" spans="1:15" ht="19" customHeight="1">
      <c r="A80" s="1485" t="s">
        <v>636</v>
      </c>
      <c r="B80" s="1486"/>
      <c r="C80" s="1486"/>
      <c r="D80" s="1486"/>
      <c r="E80" s="1486"/>
      <c r="F80" s="1486"/>
      <c r="G80" s="1486"/>
      <c r="H80" s="1486"/>
      <c r="I80" s="1486"/>
      <c r="J80" s="1486"/>
      <c r="K80" s="1486"/>
      <c r="L80" s="1486"/>
      <c r="M80" s="1486"/>
      <c r="N80" s="1486"/>
      <c r="O80" s="1487"/>
    </row>
    <row r="81" spans="1:15" ht="19" customHeight="1">
      <c r="A81" s="1485" t="s">
        <v>594</v>
      </c>
      <c r="B81" s="1486"/>
      <c r="C81" s="1486"/>
      <c r="D81" s="1486"/>
      <c r="E81" s="1486"/>
      <c r="F81" s="1486"/>
      <c r="G81" s="1486"/>
      <c r="H81" s="1486"/>
      <c r="I81" s="1486"/>
      <c r="J81" s="1486"/>
      <c r="K81" s="1486"/>
      <c r="L81" s="1486"/>
      <c r="M81" s="1486"/>
      <c r="N81" s="1486"/>
      <c r="O81" s="1487"/>
    </row>
    <row r="82" spans="1:15" ht="19" customHeight="1">
      <c r="A82" s="1488" t="s">
        <v>945</v>
      </c>
      <c r="B82" s="1489"/>
      <c r="C82" s="1489">
        <f t="shared" ref="C82:O82" si="21">$C$60*C71</f>
        <v>16207.46246791402</v>
      </c>
      <c r="D82" s="1489">
        <f t="shared" si="21"/>
        <v>12502.899618105102</v>
      </c>
      <c r="E82" s="1489">
        <f t="shared" si="21"/>
        <v>16640</v>
      </c>
      <c r="F82" s="1489">
        <f t="shared" si="21"/>
        <v>14355.181043009559</v>
      </c>
      <c r="G82" s="1489">
        <f t="shared" si="21"/>
        <v>15744.392111687906</v>
      </c>
      <c r="H82" s="1489">
        <f t="shared" si="21"/>
        <v>16640</v>
      </c>
      <c r="I82" s="1489">
        <f t="shared" si="21"/>
        <v>16640</v>
      </c>
      <c r="J82" s="1489">
        <f t="shared" si="21"/>
        <v>16640</v>
      </c>
      <c r="K82" s="1489">
        <f t="shared" si="21"/>
        <v>16640</v>
      </c>
      <c r="L82" s="1489">
        <f t="shared" si="21"/>
        <v>16640</v>
      </c>
      <c r="M82" s="1489">
        <f t="shared" si="21"/>
        <v>16640</v>
      </c>
      <c r="N82" s="1489">
        <f t="shared" si="21"/>
        <v>16640</v>
      </c>
      <c r="O82" s="1490">
        <f t="shared" si="21"/>
        <v>191929.93524071662</v>
      </c>
    </row>
    <row r="83" spans="1:15" ht="19" customHeight="1">
      <c r="A83" s="1488" t="s">
        <v>505</v>
      </c>
      <c r="B83" s="1489"/>
      <c r="C83" s="1489">
        <f t="shared" ref="C83:O83" si="22">$C$62*C72</f>
        <v>0</v>
      </c>
      <c r="D83" s="1489">
        <f t="shared" si="22"/>
        <v>0</v>
      </c>
      <c r="E83" s="1489">
        <f t="shared" si="22"/>
        <v>1435.0103048885512</v>
      </c>
      <c r="F83" s="1489">
        <f t="shared" si="22"/>
        <v>0</v>
      </c>
      <c r="G83" s="1489">
        <f t="shared" si="22"/>
        <v>0</v>
      </c>
      <c r="H83" s="1489">
        <f t="shared" si="22"/>
        <v>740.40477054937321</v>
      </c>
      <c r="I83" s="1489">
        <f t="shared" si="22"/>
        <v>2129.6158392277207</v>
      </c>
      <c r="J83" s="1489">
        <f t="shared" si="22"/>
        <v>2129.6158392277207</v>
      </c>
      <c r="K83" s="1489">
        <f t="shared" si="22"/>
        <v>1435.0103048885512</v>
      </c>
      <c r="L83" s="1489">
        <f t="shared" si="22"/>
        <v>4213.4324422452373</v>
      </c>
      <c r="M83" s="1489">
        <f t="shared" si="22"/>
        <v>22967.78186940289</v>
      </c>
      <c r="N83" s="1489">
        <f t="shared" si="22"/>
        <v>25051.598472420406</v>
      </c>
      <c r="O83" s="1490">
        <f t="shared" si="22"/>
        <v>60102.469842850456</v>
      </c>
    </row>
    <row r="84" spans="1:15" ht="19" customHeight="1">
      <c r="A84" s="1488" t="s">
        <v>946</v>
      </c>
      <c r="B84" s="1491"/>
      <c r="C84" s="1491"/>
      <c r="D84" s="1491"/>
      <c r="E84" s="1491"/>
      <c r="F84" s="1491"/>
      <c r="G84" s="1491"/>
      <c r="H84" s="1491"/>
      <c r="I84" s="1491"/>
      <c r="J84" s="1491"/>
      <c r="K84" s="1491"/>
      <c r="L84" s="1491"/>
      <c r="M84" s="1491"/>
      <c r="N84" s="1491"/>
      <c r="O84" s="1492"/>
    </row>
    <row r="85" spans="1:15" ht="19" customHeight="1">
      <c r="A85" s="1493" t="s">
        <v>605</v>
      </c>
      <c r="B85" s="1494"/>
      <c r="C85" s="1494"/>
      <c r="D85" s="1494"/>
      <c r="E85" s="1494"/>
      <c r="F85" s="1494"/>
      <c r="G85" s="1494"/>
      <c r="H85" s="1494"/>
      <c r="I85" s="1494"/>
      <c r="J85" s="1494"/>
      <c r="K85" s="1494"/>
      <c r="L85" s="1494"/>
      <c r="M85" s="1494"/>
      <c r="N85" s="1494"/>
      <c r="O85" s="1495"/>
    </row>
    <row r="86" spans="1:15" ht="19" customHeight="1" thickBot="1">
      <c r="A86" s="1504" t="s">
        <v>381</v>
      </c>
      <c r="B86" s="1505"/>
      <c r="C86" s="1505">
        <f t="shared" ref="C86:N86" si="23">SUM(C82:C83)</f>
        <v>16207.46246791402</v>
      </c>
      <c r="D86" s="1505">
        <f t="shared" si="23"/>
        <v>12502.899618105102</v>
      </c>
      <c r="E86" s="1505">
        <f t="shared" si="23"/>
        <v>18075.01030488855</v>
      </c>
      <c r="F86" s="1505">
        <f t="shared" si="23"/>
        <v>14355.181043009559</v>
      </c>
      <c r="G86" s="1505">
        <f t="shared" si="23"/>
        <v>15744.392111687906</v>
      </c>
      <c r="H86" s="1505">
        <f t="shared" si="23"/>
        <v>17380.404770549372</v>
      </c>
      <c r="I86" s="1505">
        <f t="shared" si="23"/>
        <v>18769.615839227721</v>
      </c>
      <c r="J86" s="1505">
        <f t="shared" si="23"/>
        <v>18769.615839227721</v>
      </c>
      <c r="K86" s="1505">
        <f t="shared" si="23"/>
        <v>18075.01030488855</v>
      </c>
      <c r="L86" s="1505">
        <f t="shared" si="23"/>
        <v>20853.432442245237</v>
      </c>
      <c r="M86" s="1505">
        <f t="shared" si="23"/>
        <v>39607.78186940289</v>
      </c>
      <c r="N86" s="1505">
        <f t="shared" si="23"/>
        <v>41691.598472420403</v>
      </c>
      <c r="O86" s="1506">
        <f>SUM(O82:O84)</f>
        <v>252032.40508356708</v>
      </c>
    </row>
    <row r="87" spans="1:15" ht="19" customHeight="1" thickBot="1">
      <c r="A87" s="1681"/>
      <c r="B87" s="1448"/>
      <c r="C87" s="1448"/>
      <c r="D87" s="1448"/>
      <c r="E87" s="1448"/>
      <c r="F87" s="1448"/>
      <c r="G87" s="1448"/>
      <c r="H87" s="1448"/>
      <c r="I87" s="1448"/>
      <c r="J87" s="1448"/>
      <c r="K87" s="1448"/>
      <c r="L87" s="1448"/>
      <c r="M87" s="1448"/>
      <c r="N87" s="1448"/>
      <c r="O87" s="1448"/>
    </row>
    <row r="88" spans="1:15" ht="19" customHeight="1" thickBot="1">
      <c r="A88" s="1735" t="s">
        <v>958</v>
      </c>
      <c r="B88" s="2056" t="s">
        <v>726</v>
      </c>
      <c r="C88" s="2057"/>
      <c r="D88" s="2057"/>
      <c r="E88" s="2057"/>
      <c r="F88" s="2057"/>
      <c r="G88" s="2057"/>
      <c r="H88" s="2057"/>
      <c r="I88" s="2057"/>
      <c r="J88" s="2057"/>
      <c r="K88" s="2057"/>
      <c r="L88" s="2057"/>
      <c r="M88" s="2057"/>
      <c r="N88" s="2057"/>
      <c r="O88" s="2058"/>
    </row>
    <row r="89" spans="1:15" ht="19" customHeight="1">
      <c r="A89" s="1422"/>
      <c r="B89" s="1423"/>
      <c r="C89" s="1423">
        <v>1</v>
      </c>
      <c r="D89" s="1423">
        <v>2</v>
      </c>
      <c r="E89" s="1423">
        <v>3</v>
      </c>
      <c r="F89" s="1423">
        <v>4</v>
      </c>
      <c r="G89" s="1423">
        <v>5</v>
      </c>
      <c r="H89" s="1423">
        <v>6</v>
      </c>
      <c r="I89" s="1423">
        <v>7</v>
      </c>
      <c r="J89" s="1423">
        <v>8</v>
      </c>
      <c r="K89" s="1423">
        <v>9</v>
      </c>
      <c r="L89" s="1423">
        <v>10</v>
      </c>
      <c r="M89" s="1423">
        <v>11</v>
      </c>
      <c r="N89" s="1423">
        <v>12</v>
      </c>
      <c r="O89" s="1424" t="s">
        <v>381</v>
      </c>
    </row>
    <row r="90" spans="1:15" ht="19" customHeight="1">
      <c r="A90" s="1422" t="s">
        <v>586</v>
      </c>
      <c r="B90" s="1425"/>
      <c r="C90" s="1425">
        <v>6.9860279441117765E-2</v>
      </c>
      <c r="D90" s="1425">
        <v>5.3892215568862277E-2</v>
      </c>
      <c r="E90" s="1425">
        <v>7.5848303393213579E-2</v>
      </c>
      <c r="F90" s="1425">
        <v>6.1876247504990017E-2</v>
      </c>
      <c r="G90" s="1425">
        <v>6.7864271457085831E-2</v>
      </c>
      <c r="H90" s="1425">
        <v>7.3852295409181631E-2</v>
      </c>
      <c r="I90" s="1425">
        <v>7.7844311377245512E-2</v>
      </c>
      <c r="J90" s="1425">
        <v>7.7844311377245512E-2</v>
      </c>
      <c r="K90" s="1425">
        <v>7.5848303393213579E-2</v>
      </c>
      <c r="L90" s="1425">
        <v>8.3832335329341312E-2</v>
      </c>
      <c r="M90" s="1425">
        <v>0.1377245508982036</v>
      </c>
      <c r="N90" s="1425">
        <v>0.1437125748502994</v>
      </c>
      <c r="O90" s="1426">
        <f>SUM(C90:N90)</f>
        <v>1</v>
      </c>
    </row>
    <row r="91" spans="1:15" ht="19" customHeight="1">
      <c r="A91" s="1427" t="s">
        <v>944</v>
      </c>
      <c r="B91" s="1428"/>
      <c r="C91" s="1428">
        <f t="shared" ref="C91:N91" si="24">C90*$O$91</f>
        <v>4986.9115285889293</v>
      </c>
      <c r="D91" s="1428">
        <f t="shared" si="24"/>
        <v>3847.0460363400316</v>
      </c>
      <c r="E91" s="1428">
        <f t="shared" si="24"/>
        <v>5414.3610881822669</v>
      </c>
      <c r="F91" s="1428">
        <f t="shared" si="24"/>
        <v>4416.97878246448</v>
      </c>
      <c r="G91" s="1428">
        <f t="shared" si="24"/>
        <v>4844.4283420578176</v>
      </c>
      <c r="H91" s="1428">
        <f t="shared" si="24"/>
        <v>5271.8779016511535</v>
      </c>
      <c r="I91" s="1428">
        <f t="shared" si="24"/>
        <v>5556.8442747133786</v>
      </c>
      <c r="J91" s="1428">
        <f t="shared" si="24"/>
        <v>5556.8442747133786</v>
      </c>
      <c r="K91" s="1428">
        <f t="shared" si="24"/>
        <v>5414.3610881822669</v>
      </c>
      <c r="L91" s="1428">
        <f t="shared" si="24"/>
        <v>5984.2938343067153</v>
      </c>
      <c r="M91" s="1428">
        <f t="shared" si="24"/>
        <v>9831.3398706467469</v>
      </c>
      <c r="N91" s="1428">
        <f t="shared" si="24"/>
        <v>10258.789430240084</v>
      </c>
      <c r="O91" s="1429">
        <f>'MK Bases Model (Base Case)'!F16</f>
        <v>71384.076452087247</v>
      </c>
    </row>
    <row r="92" spans="1:15" ht="19" customHeight="1">
      <c r="A92" s="1475" t="s">
        <v>594</v>
      </c>
      <c r="B92" s="1500"/>
      <c r="C92" s="1500"/>
      <c r="D92" s="1500"/>
      <c r="E92" s="1500"/>
      <c r="F92" s="1500"/>
      <c r="G92" s="1500"/>
      <c r="H92" s="1500"/>
      <c r="I92" s="1500"/>
      <c r="J92" s="1500"/>
      <c r="K92" s="1500"/>
      <c r="L92" s="1500"/>
      <c r="M92" s="1500"/>
      <c r="N92" s="1500"/>
      <c r="O92" s="1477"/>
    </row>
    <row r="93" spans="1:15" ht="19" customHeight="1">
      <c r="A93" s="1478" t="s">
        <v>945</v>
      </c>
      <c r="B93" s="1480"/>
      <c r="C93" s="1480">
        <f t="shared" ref="C93:N93" si="25">$C$58</f>
        <v>5120</v>
      </c>
      <c r="D93" s="1480">
        <f t="shared" si="25"/>
        <v>5120</v>
      </c>
      <c r="E93" s="1480">
        <f t="shared" si="25"/>
        <v>5120</v>
      </c>
      <c r="F93" s="1480">
        <f t="shared" si="25"/>
        <v>5120</v>
      </c>
      <c r="G93" s="1480">
        <f t="shared" si="25"/>
        <v>5120</v>
      </c>
      <c r="H93" s="1480">
        <f t="shared" si="25"/>
        <v>5120</v>
      </c>
      <c r="I93" s="1480">
        <f t="shared" si="25"/>
        <v>5120</v>
      </c>
      <c r="J93" s="1480">
        <f t="shared" si="25"/>
        <v>5120</v>
      </c>
      <c r="K93" s="1480">
        <f t="shared" si="25"/>
        <v>5120</v>
      </c>
      <c r="L93" s="1480">
        <f t="shared" si="25"/>
        <v>5120</v>
      </c>
      <c r="M93" s="1480">
        <f t="shared" si="25"/>
        <v>5120</v>
      </c>
      <c r="N93" s="1480">
        <f t="shared" si="25"/>
        <v>5120</v>
      </c>
      <c r="O93" s="1481">
        <f>SUM(C93:N93)</f>
        <v>61440</v>
      </c>
    </row>
    <row r="94" spans="1:15" ht="19" customHeight="1">
      <c r="A94" s="1478" t="s">
        <v>505</v>
      </c>
      <c r="B94" s="1480"/>
      <c r="C94" s="1480">
        <f t="shared" ref="C94:N94" si="26">IF(C93&gt;C91,0,C91-C93)</f>
        <v>0</v>
      </c>
      <c r="D94" s="1480">
        <f t="shared" si="26"/>
        <v>0</v>
      </c>
      <c r="E94" s="1480">
        <f t="shared" si="26"/>
        <v>294.36108818226694</v>
      </c>
      <c r="F94" s="1480">
        <f t="shared" si="26"/>
        <v>0</v>
      </c>
      <c r="G94" s="1480">
        <f t="shared" si="26"/>
        <v>0</v>
      </c>
      <c r="H94" s="1480">
        <f t="shared" si="26"/>
        <v>151.87790165115348</v>
      </c>
      <c r="I94" s="1480">
        <f t="shared" si="26"/>
        <v>436.84427471337858</v>
      </c>
      <c r="J94" s="1480">
        <f t="shared" si="26"/>
        <v>436.84427471337858</v>
      </c>
      <c r="K94" s="1480">
        <f t="shared" si="26"/>
        <v>294.36108818226694</v>
      </c>
      <c r="L94" s="1480">
        <f t="shared" si="26"/>
        <v>864.29383430671533</v>
      </c>
      <c r="M94" s="1480">
        <f t="shared" si="26"/>
        <v>4711.3398706467469</v>
      </c>
      <c r="N94" s="1480">
        <f t="shared" si="26"/>
        <v>5138.7894302400837</v>
      </c>
      <c r="O94" s="1481">
        <f>SUM(C94:N94)</f>
        <v>12328.71176263599</v>
      </c>
    </row>
    <row r="95" spans="1:15" ht="19" customHeight="1">
      <c r="A95" s="1478" t="s">
        <v>946</v>
      </c>
      <c r="B95" s="1500"/>
      <c r="C95" s="1500"/>
      <c r="D95" s="1500"/>
      <c r="E95" s="1500"/>
      <c r="F95" s="1500"/>
      <c r="G95" s="1500"/>
      <c r="H95" s="1500"/>
      <c r="I95" s="1500"/>
      <c r="J95" s="1500"/>
      <c r="K95" s="1500"/>
      <c r="L95" s="1500"/>
      <c r="M95" s="1500"/>
      <c r="N95" s="1500"/>
      <c r="O95" s="1477"/>
    </row>
    <row r="96" spans="1:15" ht="19" customHeight="1">
      <c r="A96" s="1482" t="s">
        <v>603</v>
      </c>
      <c r="B96" s="1501"/>
      <c r="C96" s="1501">
        <f t="shared" ref="C96:K96" si="27">SUM(C93:C95)-C91</f>
        <v>133.08847141107071</v>
      </c>
      <c r="D96" s="1501">
        <f t="shared" si="27"/>
        <v>1272.9539636599684</v>
      </c>
      <c r="E96" s="1501">
        <f t="shared" si="27"/>
        <v>0</v>
      </c>
      <c r="F96" s="1501">
        <f t="shared" si="27"/>
        <v>703.02121753552001</v>
      </c>
      <c r="G96" s="1501">
        <f t="shared" si="27"/>
        <v>275.57165794218236</v>
      </c>
      <c r="H96" s="1501">
        <f t="shared" si="27"/>
        <v>0</v>
      </c>
      <c r="I96" s="1501">
        <f t="shared" si="27"/>
        <v>0</v>
      </c>
      <c r="J96" s="1501">
        <f t="shared" si="27"/>
        <v>0</v>
      </c>
      <c r="K96" s="1501">
        <f t="shared" si="27"/>
        <v>0</v>
      </c>
      <c r="L96" s="1501">
        <f>L93-L91</f>
        <v>-864.29383430671533</v>
      </c>
      <c r="M96" s="1501">
        <f>M93-M91</f>
        <v>-4711.3398706467469</v>
      </c>
      <c r="N96" s="1501">
        <f>N93-N91</f>
        <v>-5138.7894302400837</v>
      </c>
      <c r="O96" s="1484">
        <f>SUM(C96:N96)</f>
        <v>-8329.7878246448054</v>
      </c>
    </row>
    <row r="97" spans="1:15" ht="19" customHeight="1">
      <c r="A97" s="1440" t="s">
        <v>605</v>
      </c>
      <c r="B97" s="1463"/>
      <c r="C97" s="1464"/>
      <c r="D97" s="1464"/>
      <c r="E97" s="1464"/>
      <c r="F97" s="1464"/>
      <c r="G97" s="1464"/>
      <c r="H97" s="1464"/>
      <c r="I97" s="1464"/>
      <c r="J97" s="1464"/>
      <c r="K97" s="1464"/>
      <c r="L97" s="1464"/>
      <c r="M97" s="1464"/>
      <c r="N97" s="1464"/>
      <c r="O97" s="1442"/>
    </row>
    <row r="98" spans="1:15" ht="19" customHeight="1">
      <c r="A98" s="1443" t="s">
        <v>947</v>
      </c>
      <c r="B98" s="1463"/>
      <c r="C98" s="1464">
        <v>0</v>
      </c>
      <c r="D98" s="1464">
        <f t="shared" ref="D98:N98" si="28">C99</f>
        <v>133.08847141107071</v>
      </c>
      <c r="E98" s="1464">
        <f t="shared" si="28"/>
        <v>1406.0424350710391</v>
      </c>
      <c r="F98" s="1464">
        <f t="shared" si="28"/>
        <v>1406.0424350710391</v>
      </c>
      <c r="G98" s="1464">
        <f t="shared" si="28"/>
        <v>2109.0636526065591</v>
      </c>
      <c r="H98" s="1464">
        <f t="shared" si="28"/>
        <v>2384.6353105487415</v>
      </c>
      <c r="I98" s="1464">
        <f t="shared" si="28"/>
        <v>2384.6353105487415</v>
      </c>
      <c r="J98" s="1464">
        <f t="shared" si="28"/>
        <v>2384.6353105487415</v>
      </c>
      <c r="K98" s="1464">
        <f t="shared" si="28"/>
        <v>2384.6353105487415</v>
      </c>
      <c r="L98" s="1464">
        <f t="shared" si="28"/>
        <v>2384.6353105487415</v>
      </c>
      <c r="M98" s="1464">
        <f t="shared" si="28"/>
        <v>1520.3414762420261</v>
      </c>
      <c r="N98" s="1464">
        <f t="shared" si="28"/>
        <v>0</v>
      </c>
      <c r="O98" s="1442"/>
    </row>
    <row r="99" spans="1:15" ht="19" customHeight="1">
      <c r="A99" s="1443" t="s">
        <v>948</v>
      </c>
      <c r="B99" s="1463"/>
      <c r="C99" s="1464">
        <f>MAX(C98+C96,0)</f>
        <v>133.08847141107071</v>
      </c>
      <c r="D99" s="1464">
        <f t="shared" ref="D99:N99" si="29">MAX(D98+D96-C101,0)</f>
        <v>1406.0424350710391</v>
      </c>
      <c r="E99" s="1464">
        <f t="shared" si="29"/>
        <v>1406.0424350710391</v>
      </c>
      <c r="F99" s="1464">
        <f t="shared" si="29"/>
        <v>2109.0636526065591</v>
      </c>
      <c r="G99" s="1464">
        <f t="shared" si="29"/>
        <v>2384.6353105487415</v>
      </c>
      <c r="H99" s="1464">
        <f t="shared" si="29"/>
        <v>2384.6353105487415</v>
      </c>
      <c r="I99" s="1464">
        <f t="shared" si="29"/>
        <v>2384.6353105487415</v>
      </c>
      <c r="J99" s="1464">
        <f t="shared" si="29"/>
        <v>2384.6353105487415</v>
      </c>
      <c r="K99" s="1464">
        <f t="shared" si="29"/>
        <v>2384.6353105487415</v>
      </c>
      <c r="L99" s="1464">
        <f t="shared" si="29"/>
        <v>1520.3414762420261</v>
      </c>
      <c r="M99" s="1464">
        <f t="shared" si="29"/>
        <v>0</v>
      </c>
      <c r="N99" s="1464">
        <f t="shared" si="29"/>
        <v>0</v>
      </c>
      <c r="O99" s="1442"/>
    </row>
    <row r="100" spans="1:15" ht="19" customHeight="1">
      <c r="A100" s="1443" t="s">
        <v>949</v>
      </c>
      <c r="B100" s="1463"/>
      <c r="C100" s="1464">
        <f t="shared" ref="C100:N100" si="30">AVERAGE(C98:C99)</f>
        <v>66.544235705535357</v>
      </c>
      <c r="D100" s="1464">
        <f t="shared" si="30"/>
        <v>769.56545324105491</v>
      </c>
      <c r="E100" s="1464">
        <f t="shared" si="30"/>
        <v>1406.0424350710391</v>
      </c>
      <c r="F100" s="1464">
        <f t="shared" si="30"/>
        <v>1757.5530438387991</v>
      </c>
      <c r="G100" s="1464">
        <f t="shared" si="30"/>
        <v>2246.8494815776503</v>
      </c>
      <c r="H100" s="1464">
        <f t="shared" si="30"/>
        <v>2384.6353105487415</v>
      </c>
      <c r="I100" s="1464">
        <f t="shared" si="30"/>
        <v>2384.6353105487415</v>
      </c>
      <c r="J100" s="1464">
        <f t="shared" si="30"/>
        <v>2384.6353105487415</v>
      </c>
      <c r="K100" s="1464">
        <f t="shared" si="30"/>
        <v>2384.6353105487415</v>
      </c>
      <c r="L100" s="1464">
        <f t="shared" si="30"/>
        <v>1952.4883933953838</v>
      </c>
      <c r="M100" s="1464">
        <f t="shared" si="30"/>
        <v>760.17073812101307</v>
      </c>
      <c r="N100" s="1464">
        <f t="shared" si="30"/>
        <v>0</v>
      </c>
      <c r="O100" s="1465">
        <f>AVERAGE(C100:N100)</f>
        <v>1541.4795852621203</v>
      </c>
    </row>
    <row r="101" spans="1:15" ht="19" customHeight="1">
      <c r="A101" s="1444" t="s">
        <v>950</v>
      </c>
      <c r="B101" s="1466"/>
      <c r="C101" s="1467">
        <f t="shared" ref="C101:N101" si="31">MAX(B101-C96-C99,0)</f>
        <v>0</v>
      </c>
      <c r="D101" s="1467">
        <f t="shared" si="31"/>
        <v>0</v>
      </c>
      <c r="E101" s="1467">
        <f t="shared" si="31"/>
        <v>0</v>
      </c>
      <c r="F101" s="1467">
        <f t="shared" si="31"/>
        <v>0</v>
      </c>
      <c r="G101" s="1467">
        <f t="shared" si="31"/>
        <v>0</v>
      </c>
      <c r="H101" s="1467">
        <f t="shared" si="31"/>
        <v>0</v>
      </c>
      <c r="I101" s="1467">
        <f t="shared" si="31"/>
        <v>0</v>
      </c>
      <c r="J101" s="1467">
        <f t="shared" si="31"/>
        <v>0</v>
      </c>
      <c r="K101" s="1467">
        <f t="shared" si="31"/>
        <v>0</v>
      </c>
      <c r="L101" s="1467">
        <f t="shared" si="31"/>
        <v>0</v>
      </c>
      <c r="M101" s="1467">
        <f t="shared" si="31"/>
        <v>4711.3398706467469</v>
      </c>
      <c r="N101" s="1467">
        <f t="shared" si="31"/>
        <v>9850.1293008868306</v>
      </c>
      <c r="O101" s="1468">
        <f>SUM(C101:N101)</f>
        <v>14561.469171533578</v>
      </c>
    </row>
    <row r="102" spans="1:15" ht="19" customHeight="1">
      <c r="A102" s="1485" t="s">
        <v>636</v>
      </c>
      <c r="B102" s="1486"/>
      <c r="C102" s="1486"/>
      <c r="D102" s="1486"/>
      <c r="E102" s="1486"/>
      <c r="F102" s="1486"/>
      <c r="G102" s="1486"/>
      <c r="H102" s="1486"/>
      <c r="I102" s="1486"/>
      <c r="J102" s="1486"/>
      <c r="K102" s="1486"/>
      <c r="L102" s="1486"/>
      <c r="M102" s="1486"/>
      <c r="N102" s="1486"/>
      <c r="O102" s="1487"/>
    </row>
    <row r="103" spans="1:15" ht="19" customHeight="1">
      <c r="A103" s="1485" t="s">
        <v>951</v>
      </c>
      <c r="B103" s="1486"/>
      <c r="C103" s="1486"/>
      <c r="D103" s="1486"/>
      <c r="E103" s="1486"/>
      <c r="F103" s="1486"/>
      <c r="G103" s="1486"/>
      <c r="H103" s="1486"/>
      <c r="I103" s="1486"/>
      <c r="J103" s="1486"/>
      <c r="K103" s="1486"/>
      <c r="L103" s="1486"/>
      <c r="M103" s="1486"/>
      <c r="N103" s="1486"/>
      <c r="O103" s="1487"/>
    </row>
    <row r="104" spans="1:15" ht="19" customHeight="1">
      <c r="A104" s="1488" t="s">
        <v>945</v>
      </c>
      <c r="B104" s="1489"/>
      <c r="C104" s="1489">
        <f t="shared" ref="C104:O104" si="32">$C$60*C93</f>
        <v>16640</v>
      </c>
      <c r="D104" s="1489">
        <f t="shared" si="32"/>
        <v>16640</v>
      </c>
      <c r="E104" s="1489">
        <f t="shared" si="32"/>
        <v>16640</v>
      </c>
      <c r="F104" s="1489">
        <f t="shared" si="32"/>
        <v>16640</v>
      </c>
      <c r="G104" s="1489">
        <f t="shared" si="32"/>
        <v>16640</v>
      </c>
      <c r="H104" s="1489">
        <f t="shared" si="32"/>
        <v>16640</v>
      </c>
      <c r="I104" s="1489">
        <f t="shared" si="32"/>
        <v>16640</v>
      </c>
      <c r="J104" s="1489">
        <f t="shared" si="32"/>
        <v>16640</v>
      </c>
      <c r="K104" s="1489">
        <f t="shared" si="32"/>
        <v>16640</v>
      </c>
      <c r="L104" s="1489">
        <f t="shared" si="32"/>
        <v>16640</v>
      </c>
      <c r="M104" s="1489">
        <f t="shared" si="32"/>
        <v>16640</v>
      </c>
      <c r="N104" s="1489">
        <f t="shared" si="32"/>
        <v>16640</v>
      </c>
      <c r="O104" s="1490">
        <f t="shared" si="32"/>
        <v>199680</v>
      </c>
    </row>
    <row r="105" spans="1:15" ht="19" customHeight="1">
      <c r="A105" s="1488" t="s">
        <v>505</v>
      </c>
      <c r="B105" s="1489"/>
      <c r="C105" s="1489">
        <f t="shared" ref="C105:O105" si="33">$C$62*C94</f>
        <v>0</v>
      </c>
      <c r="D105" s="1489">
        <f t="shared" si="33"/>
        <v>0</v>
      </c>
      <c r="E105" s="1489">
        <f t="shared" si="33"/>
        <v>1435.0103048885512</v>
      </c>
      <c r="F105" s="1489">
        <f t="shared" si="33"/>
        <v>0</v>
      </c>
      <c r="G105" s="1489">
        <f t="shared" si="33"/>
        <v>0</v>
      </c>
      <c r="H105" s="1489">
        <f t="shared" si="33"/>
        <v>740.40477054937321</v>
      </c>
      <c r="I105" s="1489">
        <f t="shared" si="33"/>
        <v>2129.6158392277207</v>
      </c>
      <c r="J105" s="1489">
        <f t="shared" si="33"/>
        <v>2129.6158392277207</v>
      </c>
      <c r="K105" s="1489">
        <f t="shared" si="33"/>
        <v>1435.0103048885512</v>
      </c>
      <c r="L105" s="1489">
        <f t="shared" si="33"/>
        <v>4213.4324422452373</v>
      </c>
      <c r="M105" s="1489">
        <f t="shared" si="33"/>
        <v>22967.78186940289</v>
      </c>
      <c r="N105" s="1489">
        <f t="shared" si="33"/>
        <v>25051.598472420406</v>
      </c>
      <c r="O105" s="1490">
        <f t="shared" si="33"/>
        <v>60102.469842850456</v>
      </c>
    </row>
    <row r="106" spans="1:15" ht="19" customHeight="1">
      <c r="A106" s="1488" t="s">
        <v>946</v>
      </c>
      <c r="B106" s="1491"/>
      <c r="C106" s="1491"/>
      <c r="D106" s="1491"/>
      <c r="E106" s="1491"/>
      <c r="F106" s="1491"/>
      <c r="G106" s="1491"/>
      <c r="H106" s="1491"/>
      <c r="I106" s="1491"/>
      <c r="J106" s="1491"/>
      <c r="K106" s="1491"/>
      <c r="L106" s="1491"/>
      <c r="M106" s="1491"/>
      <c r="N106" s="1491"/>
      <c r="O106" s="1492"/>
    </row>
    <row r="107" spans="1:15" ht="19" customHeight="1">
      <c r="A107" s="1496" t="s">
        <v>605</v>
      </c>
      <c r="B107" s="1502"/>
      <c r="C107" s="1502">
        <f t="shared" ref="C107:N107" si="34">C100*$C$9</f>
        <v>21.626876604298992</v>
      </c>
      <c r="D107" s="1502">
        <f t="shared" si="34"/>
        <v>250.10877230334285</v>
      </c>
      <c r="E107" s="1502">
        <f t="shared" si="34"/>
        <v>456.96379139808772</v>
      </c>
      <c r="F107" s="1502">
        <f t="shared" si="34"/>
        <v>571.20473924760972</v>
      </c>
      <c r="G107" s="1502">
        <f t="shared" si="34"/>
        <v>730.22608151273641</v>
      </c>
      <c r="H107" s="1502">
        <f t="shared" si="34"/>
        <v>775.00647592834105</v>
      </c>
      <c r="I107" s="1502">
        <f t="shared" si="34"/>
        <v>775.00647592834105</v>
      </c>
      <c r="J107" s="1502">
        <f t="shared" si="34"/>
        <v>775.00647592834105</v>
      </c>
      <c r="K107" s="1502">
        <f t="shared" si="34"/>
        <v>775.00647592834105</v>
      </c>
      <c r="L107" s="1502">
        <f t="shared" si="34"/>
        <v>634.5587278534997</v>
      </c>
      <c r="M107" s="1502">
        <f t="shared" si="34"/>
        <v>247.05548988932927</v>
      </c>
      <c r="N107" s="1502">
        <f t="shared" si="34"/>
        <v>0</v>
      </c>
      <c r="O107" s="1503">
        <f>SUM(C107:N107)</f>
        <v>6011.7703825222698</v>
      </c>
    </row>
    <row r="108" spans="1:15" ht="19" customHeight="1" thickBot="1">
      <c r="A108" s="1504" t="s">
        <v>381</v>
      </c>
      <c r="B108" s="1505"/>
      <c r="C108" s="1505">
        <f t="shared" ref="C108:O108" si="35">SUM(C104:C107)</f>
        <v>16661.626876604299</v>
      </c>
      <c r="D108" s="1505">
        <f t="shared" si="35"/>
        <v>16890.108772303342</v>
      </c>
      <c r="E108" s="1505">
        <f t="shared" si="35"/>
        <v>18531.974096286638</v>
      </c>
      <c r="F108" s="1505">
        <f t="shared" si="35"/>
        <v>17211.204739247609</v>
      </c>
      <c r="G108" s="1505">
        <f t="shared" si="35"/>
        <v>17370.226081512737</v>
      </c>
      <c r="H108" s="1505">
        <f t="shared" si="35"/>
        <v>18155.411246477714</v>
      </c>
      <c r="I108" s="1505">
        <f t="shared" si="35"/>
        <v>19544.622315156063</v>
      </c>
      <c r="J108" s="1505">
        <f t="shared" si="35"/>
        <v>19544.622315156063</v>
      </c>
      <c r="K108" s="1505">
        <f t="shared" si="35"/>
        <v>18850.016780816892</v>
      </c>
      <c r="L108" s="1505">
        <f t="shared" si="35"/>
        <v>21487.991170098736</v>
      </c>
      <c r="M108" s="1505">
        <f t="shared" si="35"/>
        <v>39854.837359292222</v>
      </c>
      <c r="N108" s="1505">
        <f t="shared" si="35"/>
        <v>41691.598472420403</v>
      </c>
      <c r="O108" s="1506">
        <f t="shared" si="35"/>
        <v>265794.24022537272</v>
      </c>
    </row>
  </sheetData>
  <mergeCells count="19">
    <mergeCell ref="B88:O88"/>
    <mergeCell ref="A58:B58"/>
    <mergeCell ref="A59:B59"/>
    <mergeCell ref="A61:B61"/>
    <mergeCell ref="A63:B63"/>
    <mergeCell ref="A64:B64"/>
    <mergeCell ref="B66:O66"/>
    <mergeCell ref="A60:B60"/>
    <mergeCell ref="A62:B62"/>
    <mergeCell ref="A10:B10"/>
    <mergeCell ref="B12:O12"/>
    <mergeCell ref="C34:O34"/>
    <mergeCell ref="A3:B3"/>
    <mergeCell ref="A4:B4"/>
    <mergeCell ref="A6:B6"/>
    <mergeCell ref="A7:B7"/>
    <mergeCell ref="A9:B9"/>
    <mergeCell ref="A5:B5"/>
    <mergeCell ref="A8:B8"/>
  </mergeCells>
  <hyperlinks>
    <hyperlink ref="A1" location="Index!A1" display="Index" xr:uid="{3002A9A8-0E19-F84F-A136-854FEBED7166}"/>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
  <sheetViews>
    <sheetView workbookViewId="0"/>
  </sheetViews>
  <sheetFormatPr baseColWidth="10" defaultColWidth="14.33203125" defaultRowHeight="15.75" customHeight="1"/>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D6"/>
  <sheetViews>
    <sheetView workbookViewId="0"/>
  </sheetViews>
  <sheetFormatPr baseColWidth="10" defaultColWidth="14.33203125" defaultRowHeight="15.75" customHeight="1"/>
  <sheetData>
    <row r="1" spans="1:4" ht="15.75" customHeight="1">
      <c r="A1" s="18" t="s">
        <v>740</v>
      </c>
      <c r="D1" s="18" t="s">
        <v>741</v>
      </c>
    </row>
    <row r="4" spans="1:4" ht="15.75" customHeight="1">
      <c r="A4" s="18" t="s">
        <v>742</v>
      </c>
    </row>
    <row r="6" spans="1:4" ht="15.75" customHeight="1">
      <c r="A6" s="18" t="s">
        <v>16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7D27-86A1-3F44-8FB1-3E8E588459CF}">
  <sheetPr>
    <tabColor theme="8"/>
  </sheetPr>
  <dimension ref="A1:R50"/>
  <sheetViews>
    <sheetView workbookViewId="0">
      <selection activeCell="J29" sqref="J29"/>
    </sheetView>
  </sheetViews>
  <sheetFormatPr baseColWidth="10" defaultRowHeight="13"/>
  <cols>
    <col min="1" max="1" width="27.6640625" bestFit="1" customWidth="1"/>
    <col min="2" max="13" width="15.83203125" customWidth="1"/>
    <col min="14" max="14" width="20" bestFit="1" customWidth="1"/>
  </cols>
  <sheetData>
    <row r="1" spans="1:18" ht="26" thickBot="1">
      <c r="A1" s="1713" t="s">
        <v>0</v>
      </c>
    </row>
    <row r="2" spans="1:18" ht="17" thickBot="1">
      <c r="A2" s="1918" t="s">
        <v>1168</v>
      </c>
      <c r="B2" s="1915" t="s">
        <v>1170</v>
      </c>
      <c r="C2" s="1914" t="s">
        <v>1169</v>
      </c>
      <c r="D2" s="312"/>
      <c r="E2" s="312"/>
      <c r="F2" s="312"/>
      <c r="G2" s="312"/>
      <c r="H2" s="312"/>
      <c r="I2" s="312"/>
      <c r="J2" s="312"/>
      <c r="K2" s="312"/>
      <c r="L2" s="312"/>
      <c r="M2" s="312"/>
      <c r="N2" s="312"/>
      <c r="O2" s="312"/>
      <c r="P2" s="312"/>
      <c r="Q2" s="312"/>
      <c r="R2" s="312"/>
    </row>
    <row r="3" spans="1:18" ht="16">
      <c r="A3" s="1917" t="s">
        <v>1172</v>
      </c>
      <c r="B3" s="1916">
        <v>10</v>
      </c>
      <c r="C3" s="1913">
        <v>8</v>
      </c>
      <c r="D3" s="1900"/>
      <c r="E3" s="312"/>
      <c r="F3" s="312"/>
      <c r="G3" s="312"/>
      <c r="H3" s="312"/>
      <c r="I3" s="312"/>
      <c r="J3" s="312"/>
      <c r="K3" s="312"/>
      <c r="L3" s="312"/>
      <c r="M3" s="312"/>
      <c r="N3" s="312"/>
      <c r="O3" s="312"/>
      <c r="P3" s="312"/>
      <c r="Q3" s="312"/>
      <c r="R3" s="312"/>
    </row>
    <row r="4" spans="1:18" ht="17" thickBot="1">
      <c r="A4" s="1906" t="s">
        <v>1171</v>
      </c>
      <c r="B4" s="1907">
        <v>4</v>
      </c>
      <c r="C4" s="1901">
        <v>30</v>
      </c>
      <c r="D4" s="1900"/>
      <c r="E4" s="312"/>
      <c r="F4" s="312"/>
      <c r="G4" s="312"/>
      <c r="H4" s="312"/>
      <c r="I4" s="312"/>
      <c r="J4" s="312"/>
      <c r="K4" s="312"/>
      <c r="L4" s="312"/>
      <c r="M4" s="312"/>
      <c r="N4" s="312"/>
      <c r="O4" s="312"/>
      <c r="P4" s="312"/>
      <c r="Q4" s="312"/>
      <c r="R4" s="312"/>
    </row>
    <row r="5" spans="1:18" ht="17" thickBot="1">
      <c r="O5" s="312"/>
      <c r="P5" s="312"/>
      <c r="Q5" s="312"/>
      <c r="R5" s="312"/>
    </row>
    <row r="6" spans="1:18" ht="21" thickBot="1">
      <c r="A6" s="2065" t="s">
        <v>1173</v>
      </c>
      <c r="B6" s="2066"/>
      <c r="C6" s="2066"/>
      <c r="D6" s="2066"/>
      <c r="E6" s="2066"/>
      <c r="F6" s="2066"/>
      <c r="G6" s="2066"/>
      <c r="H6" s="2066"/>
      <c r="I6" s="2066"/>
      <c r="J6" s="2066"/>
      <c r="K6" s="2066"/>
      <c r="L6" s="2066"/>
      <c r="M6" s="2066"/>
      <c r="N6" s="2067"/>
      <c r="O6" s="312"/>
      <c r="P6" s="312"/>
      <c r="Q6" s="312"/>
      <c r="R6" s="312"/>
    </row>
    <row r="7" spans="1:18" ht="17" thickBot="1">
      <c r="A7" s="1909"/>
      <c r="B7" s="1910" t="s">
        <v>1150</v>
      </c>
      <c r="C7" s="1911" t="s">
        <v>1151</v>
      </c>
      <c r="D7" s="1911" t="s">
        <v>1152</v>
      </c>
      <c r="E7" s="1911" t="s">
        <v>1153</v>
      </c>
      <c r="F7" s="1911" t="s">
        <v>1154</v>
      </c>
      <c r="G7" s="1911" t="s">
        <v>1155</v>
      </c>
      <c r="H7" s="1911" t="s">
        <v>1156</v>
      </c>
      <c r="I7" s="1911" t="s">
        <v>1157</v>
      </c>
      <c r="J7" s="1911" t="s">
        <v>1158</v>
      </c>
      <c r="K7" s="1911" t="s">
        <v>1159</v>
      </c>
      <c r="L7" s="1911" t="s">
        <v>1160</v>
      </c>
      <c r="M7" s="1912" t="s">
        <v>1161</v>
      </c>
      <c r="N7" s="1909" t="s">
        <v>1165</v>
      </c>
      <c r="O7" s="312"/>
      <c r="P7" s="312"/>
      <c r="Q7" s="312"/>
      <c r="R7" s="312"/>
    </row>
    <row r="8" spans="1:18" ht="16">
      <c r="A8" s="1904" t="s">
        <v>1149</v>
      </c>
      <c r="B8" s="1919"/>
      <c r="C8" s="1920"/>
      <c r="D8" s="1920"/>
      <c r="E8" s="1920"/>
      <c r="F8" s="1920"/>
      <c r="G8" s="1920"/>
      <c r="H8" s="1920"/>
      <c r="I8" s="1920"/>
      <c r="J8" s="1920"/>
      <c r="K8" s="1920">
        <f>SUM('OM Aggregate Hybrid Plan Y0-5'!M7:M10)</f>
        <v>640</v>
      </c>
      <c r="L8" s="1920">
        <f>SUM('OM Aggregate Hybrid Plan Y0-5'!N7:N10)</f>
        <v>640</v>
      </c>
      <c r="M8" s="1921">
        <f>SUM('OM Aggregate Hybrid Plan Y0-5'!O7:O10)</f>
        <v>1120</v>
      </c>
      <c r="N8" s="1922">
        <f t="shared" ref="N8:N13" si="0">SUM(B8:M8)</f>
        <v>2400</v>
      </c>
      <c r="O8" s="312"/>
      <c r="P8" s="312"/>
      <c r="Q8" s="312"/>
      <c r="R8" s="312"/>
    </row>
    <row r="9" spans="1:18" ht="16">
      <c r="A9" s="1905" t="s">
        <v>1162</v>
      </c>
      <c r="B9" s="1923">
        <f>SUM('OM Aggregate Hybrid Plan Y0-5'!D31:D34)</f>
        <v>640</v>
      </c>
      <c r="C9" s="1924">
        <f>SUM('OM Aggregate Hybrid Plan Y0-5'!E31:E34)</f>
        <v>640</v>
      </c>
      <c r="D9" s="1924">
        <f>SUM('OM Aggregate Hybrid Plan Y0-5'!F31:F34)</f>
        <v>640</v>
      </c>
      <c r="E9" s="1924">
        <f>SUM('OM Aggregate Hybrid Plan Y0-5'!G31:G34)</f>
        <v>1120</v>
      </c>
      <c r="F9" s="1924">
        <f>SUM('OM Aggregate Hybrid Plan Y0-5'!H31:H34)</f>
        <v>1120</v>
      </c>
      <c r="G9" s="1924">
        <f>SUM('OM Aggregate Hybrid Plan Y0-5'!I31:I34)</f>
        <v>1120</v>
      </c>
      <c r="H9" s="1924">
        <f>SUM('OM Aggregate Hybrid Plan Y0-5'!J31:J34)</f>
        <v>1120</v>
      </c>
      <c r="I9" s="1924">
        <f>SUM('OM Aggregate Hybrid Plan Y0-5'!K31:K34)</f>
        <v>1120</v>
      </c>
      <c r="J9" s="1924">
        <f>SUM('OM Aggregate Hybrid Plan Y0-5'!L31:L34)</f>
        <v>1120</v>
      </c>
      <c r="K9" s="1924">
        <f>SUM('OM Aggregate Hybrid Plan Y0-5'!M31:M34)</f>
        <v>1120</v>
      </c>
      <c r="L9" s="1924">
        <f>SUM('OM Aggregate Hybrid Plan Y0-5'!N31:N34)</f>
        <v>1120</v>
      </c>
      <c r="M9" s="1925">
        <f>SUM('OM Aggregate Hybrid Plan Y0-5'!O31:O34)</f>
        <v>1120</v>
      </c>
      <c r="N9" s="1926">
        <f t="shared" si="0"/>
        <v>12000</v>
      </c>
      <c r="O9" s="312"/>
      <c r="P9" s="312"/>
      <c r="Q9" s="312"/>
      <c r="R9" s="312"/>
    </row>
    <row r="10" spans="1:18" ht="16">
      <c r="A10" s="1905" t="s">
        <v>1163</v>
      </c>
      <c r="B10" s="1923">
        <f>SUM('OM Aggregate Hybrid Plan Y0-5'!D56:D59)</f>
        <v>1280</v>
      </c>
      <c r="C10" s="1924">
        <f>SUM('OM Aggregate Hybrid Plan Y0-5'!E56:E59)</f>
        <v>1280</v>
      </c>
      <c r="D10" s="1924">
        <f>SUM('OM Aggregate Hybrid Plan Y0-5'!F56:F59)</f>
        <v>1280</v>
      </c>
      <c r="E10" s="1924">
        <f>SUM('OM Aggregate Hybrid Plan Y0-5'!G56:G59)</f>
        <v>1760</v>
      </c>
      <c r="F10" s="1924">
        <f>SUM('OM Aggregate Hybrid Plan Y0-5'!H56:H59)</f>
        <v>1760</v>
      </c>
      <c r="G10" s="1924">
        <f>SUM('OM Aggregate Hybrid Plan Y0-5'!I56:I59)</f>
        <v>1760</v>
      </c>
      <c r="H10" s="1924">
        <f>SUM('OM Aggregate Hybrid Plan Y0-5'!J56:J59)</f>
        <v>1760</v>
      </c>
      <c r="I10" s="1924">
        <f>SUM('OM Aggregate Hybrid Plan Y0-5'!K56:K59)</f>
        <v>1760</v>
      </c>
      <c r="J10" s="1924">
        <f>SUM('OM Aggregate Hybrid Plan Y0-5'!L56:L59)</f>
        <v>1760</v>
      </c>
      <c r="K10" s="1924">
        <f>SUM('OM Aggregate Hybrid Plan Y0-5'!M56:M59)</f>
        <v>1760</v>
      </c>
      <c r="L10" s="1924">
        <f>SUM('OM Aggregate Hybrid Plan Y0-5'!N56:N59)</f>
        <v>1760</v>
      </c>
      <c r="M10" s="1925">
        <f>SUM('OM Aggregate Hybrid Plan Y0-5'!O56:O59)</f>
        <v>1760</v>
      </c>
      <c r="N10" s="1926">
        <f t="shared" si="0"/>
        <v>19680</v>
      </c>
      <c r="O10" s="312"/>
      <c r="P10" s="312"/>
      <c r="Q10" s="312"/>
      <c r="R10" s="312"/>
    </row>
    <row r="11" spans="1:18" ht="16">
      <c r="A11" s="1905" t="s">
        <v>1164</v>
      </c>
      <c r="B11" s="1923">
        <f>SUM('OM Aggregate Hybrid Plan Y0-5'!D82:D85)</f>
        <v>3680</v>
      </c>
      <c r="C11" s="1924">
        <f>SUM('OM Aggregate Hybrid Plan Y0-5'!E82:E85)</f>
        <v>3680</v>
      </c>
      <c r="D11" s="1924">
        <f>SUM('OM Aggregate Hybrid Plan Y0-5'!F82:F85)</f>
        <v>3680</v>
      </c>
      <c r="E11" s="1924">
        <f>SUM('OM Aggregate Hybrid Plan Y0-5'!G82:G85)</f>
        <v>3680</v>
      </c>
      <c r="F11" s="1924">
        <f>SUM('OM Aggregate Hybrid Plan Y0-5'!H82:H85)</f>
        <v>3680</v>
      </c>
      <c r="G11" s="1924">
        <f>SUM('OM Aggregate Hybrid Plan Y0-5'!I82:I85)</f>
        <v>3680</v>
      </c>
      <c r="H11" s="1924">
        <f>SUM('OM Aggregate Hybrid Plan Y0-5'!J82:J85)</f>
        <v>3680</v>
      </c>
      <c r="I11" s="1924">
        <f>SUM('OM Aggregate Hybrid Plan Y0-5'!K82:K85)</f>
        <v>3680</v>
      </c>
      <c r="J11" s="1924">
        <f>SUM('OM Aggregate Hybrid Plan Y0-5'!L82:L85)</f>
        <v>3680</v>
      </c>
      <c r="K11" s="1924">
        <f>SUM('OM Aggregate Hybrid Plan Y0-5'!M82:M85)</f>
        <v>3680</v>
      </c>
      <c r="L11" s="1924">
        <f>SUM('OM Aggregate Hybrid Plan Y0-5'!N82:N85)</f>
        <v>3680</v>
      </c>
      <c r="M11" s="1925">
        <f>SUM('OM Aggregate Hybrid Plan Y0-5'!O82:O85)</f>
        <v>3680</v>
      </c>
      <c r="N11" s="1926">
        <f t="shared" si="0"/>
        <v>44160</v>
      </c>
      <c r="O11" s="312"/>
      <c r="P11" s="312"/>
      <c r="Q11" s="312"/>
      <c r="R11" s="312"/>
    </row>
    <row r="12" spans="1:18" ht="16">
      <c r="A12" s="1905" t="s">
        <v>1166</v>
      </c>
      <c r="B12" s="1923">
        <f>SUM('OM Aggregate Hybrid Plan Y0-5'!D107:D110)</f>
        <v>4320</v>
      </c>
      <c r="C12" s="1924">
        <f>SUM('OM Aggregate Hybrid Plan Y0-5'!E107:E110)</f>
        <v>4320</v>
      </c>
      <c r="D12" s="1924">
        <f>SUM('OM Aggregate Hybrid Plan Y0-5'!F107:F110)</f>
        <v>4320</v>
      </c>
      <c r="E12" s="1924">
        <f>SUM('OM Aggregate Hybrid Plan Y0-5'!G107:G110)</f>
        <v>4800</v>
      </c>
      <c r="F12" s="1924">
        <f>SUM('OM Aggregate Hybrid Plan Y0-5'!H107:H110)</f>
        <v>4800</v>
      </c>
      <c r="G12" s="1924">
        <f>SUM('OM Aggregate Hybrid Plan Y0-5'!I107:I110)</f>
        <v>4800</v>
      </c>
      <c r="H12" s="1924">
        <f>SUM('OM Aggregate Hybrid Plan Y0-5'!J107:J110)</f>
        <v>4800</v>
      </c>
      <c r="I12" s="1924">
        <f>SUM('OM Aggregate Hybrid Plan Y0-5'!K107:K110)</f>
        <v>4800</v>
      </c>
      <c r="J12" s="1924">
        <f>SUM('OM Aggregate Hybrid Plan Y0-5'!L107:L110)</f>
        <v>4800</v>
      </c>
      <c r="K12" s="1924">
        <f>SUM('OM Aggregate Hybrid Plan Y0-5'!M107:M110)</f>
        <v>4800</v>
      </c>
      <c r="L12" s="1924">
        <f>SUM('OM Aggregate Hybrid Plan Y0-5'!N107:N110)</f>
        <v>4800</v>
      </c>
      <c r="M12" s="1925">
        <f>SUM('OM Aggregate Hybrid Plan Y0-5'!O107:O110)</f>
        <v>4800</v>
      </c>
      <c r="N12" s="1926">
        <f t="shared" si="0"/>
        <v>56160</v>
      </c>
      <c r="O12" s="312"/>
      <c r="P12" s="312"/>
      <c r="Q12" s="312"/>
      <c r="R12" s="312"/>
    </row>
    <row r="13" spans="1:18" ht="17" thickBot="1">
      <c r="A13" s="1906" t="s">
        <v>1167</v>
      </c>
      <c r="B13" s="1927">
        <f>SUM('OM Aggregate Hybrid Plan Y0-5'!D132:D135)</f>
        <v>5920</v>
      </c>
      <c r="C13" s="1928">
        <f>SUM('OM Aggregate Hybrid Plan Y0-5'!E132:E135)</f>
        <v>5920</v>
      </c>
      <c r="D13" s="1928">
        <f>SUM('OM Aggregate Hybrid Plan Y0-5'!F132:F135)</f>
        <v>5920</v>
      </c>
      <c r="E13" s="1928">
        <f>SUM('OM Aggregate Hybrid Plan Y0-5'!G132:G135)</f>
        <v>5920</v>
      </c>
      <c r="F13" s="1928">
        <f>SUM('OM Aggregate Hybrid Plan Y0-5'!H132:H135)</f>
        <v>5920</v>
      </c>
      <c r="G13" s="1928">
        <f>SUM('OM Aggregate Hybrid Plan Y0-5'!I132:I135)</f>
        <v>5920</v>
      </c>
      <c r="H13" s="1928">
        <f>SUM('OM Aggregate Hybrid Plan Y0-5'!J132:J135)</f>
        <v>5920</v>
      </c>
      <c r="I13" s="1928">
        <f>SUM('OM Aggregate Hybrid Plan Y0-5'!K132:K135)</f>
        <v>5920</v>
      </c>
      <c r="J13" s="1928">
        <f>SUM('OM Aggregate Hybrid Plan Y0-5'!L132:L135)</f>
        <v>5920</v>
      </c>
      <c r="K13" s="1928">
        <f>SUM('OM Aggregate Hybrid Plan Y0-5'!M132:M135)</f>
        <v>5920</v>
      </c>
      <c r="L13" s="1928">
        <f>SUM('OM Aggregate Hybrid Plan Y0-5'!N132:N135)</f>
        <v>5920</v>
      </c>
      <c r="M13" s="1929">
        <f>SUM('OM Aggregate Hybrid Plan Y0-5'!O132:O135)</f>
        <v>5920</v>
      </c>
      <c r="N13" s="1930">
        <f t="shared" si="0"/>
        <v>71040</v>
      </c>
      <c r="O13" s="312"/>
      <c r="P13" s="312"/>
      <c r="Q13" s="312"/>
      <c r="R13" s="312"/>
    </row>
    <row r="14" spans="1:18" ht="16">
      <c r="A14" s="2068" t="s">
        <v>1174</v>
      </c>
      <c r="B14" s="1919">
        <f t="shared" ref="B14:M14" si="1">SUM(B9:B13)</f>
        <v>15840</v>
      </c>
      <c r="C14" s="1920">
        <f t="shared" si="1"/>
        <v>15840</v>
      </c>
      <c r="D14" s="1920">
        <f t="shared" si="1"/>
        <v>15840</v>
      </c>
      <c r="E14" s="1920">
        <f t="shared" si="1"/>
        <v>17280</v>
      </c>
      <c r="F14" s="1920">
        <f t="shared" si="1"/>
        <v>17280</v>
      </c>
      <c r="G14" s="1920">
        <f t="shared" si="1"/>
        <v>17280</v>
      </c>
      <c r="H14" s="1920">
        <f t="shared" si="1"/>
        <v>17280</v>
      </c>
      <c r="I14" s="1920">
        <f t="shared" si="1"/>
        <v>17280</v>
      </c>
      <c r="J14" s="1920">
        <f t="shared" si="1"/>
        <v>17280</v>
      </c>
      <c r="K14" s="1920">
        <f t="shared" si="1"/>
        <v>17280</v>
      </c>
      <c r="L14" s="1920">
        <f t="shared" si="1"/>
        <v>17280</v>
      </c>
      <c r="M14" s="1921">
        <f t="shared" si="1"/>
        <v>17280</v>
      </c>
      <c r="N14" s="1922"/>
      <c r="O14" s="312"/>
      <c r="P14" s="312"/>
      <c r="Q14" s="312"/>
      <c r="R14" s="312"/>
    </row>
    <row r="15" spans="1:18" ht="17" thickBot="1">
      <c r="A15" s="2069"/>
      <c r="B15" s="1908">
        <f t="shared" ref="B15:M15" si="2">B14/MAX($B$14:$M$14)</f>
        <v>0.91666666666666663</v>
      </c>
      <c r="C15" s="1902">
        <f t="shared" si="2"/>
        <v>0.91666666666666663</v>
      </c>
      <c r="D15" s="1902">
        <f t="shared" si="2"/>
        <v>0.91666666666666663</v>
      </c>
      <c r="E15" s="1902">
        <f t="shared" si="2"/>
        <v>1</v>
      </c>
      <c r="F15" s="1902">
        <f t="shared" si="2"/>
        <v>1</v>
      </c>
      <c r="G15" s="1902">
        <f t="shared" si="2"/>
        <v>1</v>
      </c>
      <c r="H15" s="1902">
        <f t="shared" si="2"/>
        <v>1</v>
      </c>
      <c r="I15" s="1902">
        <f t="shared" si="2"/>
        <v>1</v>
      </c>
      <c r="J15" s="1902">
        <f t="shared" si="2"/>
        <v>1</v>
      </c>
      <c r="K15" s="1902">
        <f t="shared" si="2"/>
        <v>1</v>
      </c>
      <c r="L15" s="1902">
        <f t="shared" si="2"/>
        <v>1</v>
      </c>
      <c r="M15" s="1903">
        <f t="shared" si="2"/>
        <v>1</v>
      </c>
      <c r="N15" s="1906"/>
      <c r="O15" s="312"/>
      <c r="P15" s="312"/>
      <c r="Q15" s="312"/>
      <c r="R15" s="312"/>
    </row>
    <row r="16" spans="1:18" ht="16">
      <c r="N16" s="312"/>
      <c r="O16" s="312"/>
      <c r="P16" s="312"/>
      <c r="Q16" s="312"/>
      <c r="R16" s="312"/>
    </row>
    <row r="17" spans="1:18" ht="16">
      <c r="O17" s="312"/>
      <c r="P17" s="312"/>
      <c r="Q17" s="312"/>
      <c r="R17" s="312"/>
    </row>
    <row r="18" spans="1:18" ht="16">
      <c r="O18" s="312"/>
      <c r="P18" s="312"/>
      <c r="Q18" s="312"/>
      <c r="R18" s="312"/>
    </row>
    <row r="19" spans="1:18" ht="16">
      <c r="O19" s="312"/>
      <c r="P19" s="312"/>
      <c r="Q19" s="312"/>
      <c r="R19" s="312"/>
    </row>
    <row r="20" spans="1:18" ht="16">
      <c r="O20" s="312"/>
      <c r="P20" s="312"/>
      <c r="Q20" s="312"/>
      <c r="R20" s="312"/>
    </row>
    <row r="21" spans="1:18" ht="16">
      <c r="O21" s="312"/>
      <c r="P21" s="312"/>
      <c r="Q21" s="312"/>
      <c r="R21" s="312"/>
    </row>
    <row r="22" spans="1:18" ht="16">
      <c r="O22" s="312"/>
      <c r="P22" s="312"/>
      <c r="Q22" s="312"/>
      <c r="R22" s="312"/>
    </row>
    <row r="23" spans="1:18" ht="16">
      <c r="O23" s="312"/>
      <c r="P23" s="312"/>
      <c r="Q23" s="312"/>
      <c r="R23" s="312"/>
    </row>
    <row r="24" spans="1:18" ht="16">
      <c r="O24" s="312"/>
      <c r="P24" s="312"/>
      <c r="Q24" s="312"/>
      <c r="R24" s="312"/>
    </row>
    <row r="25" spans="1:18" ht="16">
      <c r="O25" s="312"/>
      <c r="P25" s="312"/>
      <c r="Q25" s="312"/>
      <c r="R25" s="312"/>
    </row>
    <row r="26" spans="1:18" ht="16">
      <c r="O26" s="312"/>
      <c r="P26" s="312"/>
      <c r="Q26" s="312"/>
      <c r="R26" s="312"/>
    </row>
    <row r="27" spans="1:18" ht="16">
      <c r="O27" s="312"/>
      <c r="P27" s="312"/>
      <c r="Q27" s="312"/>
      <c r="R27" s="312"/>
    </row>
    <row r="28" spans="1:18" ht="16">
      <c r="O28" s="312"/>
      <c r="P28" s="312"/>
      <c r="Q28" s="312"/>
      <c r="R28" s="312"/>
    </row>
    <row r="29" spans="1:18" ht="16">
      <c r="O29" s="312"/>
      <c r="P29" s="312"/>
      <c r="Q29" s="312"/>
      <c r="R29" s="312"/>
    </row>
    <row r="30" spans="1:18" ht="16">
      <c r="O30" s="312"/>
      <c r="P30" s="312"/>
      <c r="Q30" s="312"/>
      <c r="R30" s="312"/>
    </row>
    <row r="31" spans="1:18" ht="16">
      <c r="A31" s="312"/>
      <c r="B31" s="312"/>
      <c r="C31" s="312"/>
      <c r="D31" s="312"/>
      <c r="E31" s="312"/>
      <c r="F31" s="312"/>
      <c r="G31" s="312"/>
      <c r="H31" s="312"/>
      <c r="I31" s="312"/>
      <c r="J31" s="312"/>
      <c r="K31" s="312"/>
      <c r="L31" s="312"/>
      <c r="M31" s="312"/>
      <c r="N31" s="312"/>
      <c r="O31" s="312"/>
      <c r="P31" s="312"/>
      <c r="Q31" s="312"/>
      <c r="R31" s="312"/>
    </row>
    <row r="32" spans="1:18" ht="16">
      <c r="A32" s="312"/>
      <c r="B32" s="312"/>
      <c r="C32" s="312"/>
      <c r="D32" s="312"/>
      <c r="E32" s="312"/>
      <c r="F32" s="312"/>
      <c r="G32" s="312"/>
      <c r="H32" s="312"/>
      <c r="I32" s="312"/>
      <c r="J32" s="312"/>
      <c r="K32" s="312"/>
      <c r="L32" s="312"/>
      <c r="M32" s="312"/>
      <c r="N32" s="312"/>
      <c r="O32" s="312"/>
      <c r="P32" s="312"/>
      <c r="Q32" s="312"/>
      <c r="R32" s="312"/>
    </row>
    <row r="33" spans="1:18" ht="16">
      <c r="A33" s="312"/>
      <c r="B33" s="312"/>
      <c r="C33" s="312"/>
      <c r="D33" s="312"/>
      <c r="E33" s="312"/>
      <c r="F33" s="312"/>
      <c r="G33" s="312"/>
      <c r="H33" s="312"/>
      <c r="I33" s="312"/>
      <c r="J33" s="312"/>
      <c r="K33" s="312"/>
      <c r="L33" s="312"/>
      <c r="M33" s="312"/>
      <c r="N33" s="312"/>
      <c r="O33" s="312"/>
      <c r="P33" s="312"/>
      <c r="Q33" s="312"/>
      <c r="R33" s="312"/>
    </row>
    <row r="34" spans="1:18" ht="16">
      <c r="A34" s="312"/>
      <c r="B34" s="312"/>
      <c r="C34" s="312"/>
      <c r="D34" s="312"/>
      <c r="E34" s="312"/>
      <c r="F34" s="312"/>
      <c r="G34" s="312"/>
      <c r="H34" s="312"/>
      <c r="I34" s="312"/>
      <c r="J34" s="312"/>
      <c r="K34" s="312"/>
      <c r="L34" s="312"/>
      <c r="M34" s="312"/>
      <c r="N34" s="312"/>
      <c r="O34" s="312"/>
      <c r="P34" s="312"/>
      <c r="Q34" s="312"/>
      <c r="R34" s="312"/>
    </row>
    <row r="35" spans="1:18" ht="16">
      <c r="A35" s="312"/>
      <c r="B35" s="312"/>
      <c r="C35" s="312"/>
      <c r="D35" s="312"/>
      <c r="E35" s="312"/>
      <c r="F35" s="312"/>
      <c r="G35" s="312"/>
      <c r="H35" s="312"/>
      <c r="I35" s="312"/>
      <c r="J35" s="312"/>
      <c r="K35" s="312"/>
      <c r="L35" s="312"/>
      <c r="M35" s="312"/>
      <c r="N35" s="312"/>
      <c r="O35" s="312"/>
      <c r="P35" s="312"/>
      <c r="Q35" s="312"/>
      <c r="R35" s="312"/>
    </row>
    <row r="36" spans="1:18" ht="16">
      <c r="A36" s="312"/>
      <c r="B36" s="312"/>
      <c r="C36" s="312"/>
      <c r="D36" s="312"/>
      <c r="E36" s="312"/>
      <c r="F36" s="312"/>
      <c r="G36" s="312"/>
      <c r="H36" s="312"/>
      <c r="I36" s="312"/>
      <c r="J36" s="312"/>
      <c r="K36" s="312"/>
      <c r="L36" s="312"/>
      <c r="M36" s="312"/>
      <c r="N36" s="312"/>
      <c r="O36" s="312"/>
      <c r="P36" s="312"/>
      <c r="Q36" s="312"/>
      <c r="R36" s="312"/>
    </row>
    <row r="37" spans="1:18" ht="16">
      <c r="A37" s="312"/>
      <c r="B37" s="312"/>
      <c r="C37" s="312"/>
      <c r="D37" s="312"/>
      <c r="E37" s="312"/>
      <c r="F37" s="312"/>
      <c r="G37" s="312"/>
      <c r="H37" s="312"/>
      <c r="I37" s="312"/>
      <c r="J37" s="312"/>
      <c r="K37" s="312"/>
      <c r="L37" s="312"/>
      <c r="M37" s="312"/>
      <c r="N37" s="312"/>
      <c r="O37" s="312"/>
      <c r="P37" s="312"/>
      <c r="Q37" s="312"/>
      <c r="R37" s="312"/>
    </row>
    <row r="38" spans="1:18" ht="16">
      <c r="A38" s="312"/>
      <c r="B38" s="312"/>
      <c r="C38" s="312"/>
      <c r="D38" s="312"/>
      <c r="E38" s="312"/>
      <c r="F38" s="312"/>
      <c r="G38" s="312"/>
      <c r="H38" s="312"/>
      <c r="I38" s="312"/>
      <c r="J38" s="312"/>
      <c r="K38" s="312"/>
      <c r="L38" s="312"/>
      <c r="M38" s="312"/>
      <c r="N38" s="312"/>
      <c r="O38" s="312"/>
      <c r="P38" s="312"/>
      <c r="Q38" s="312"/>
      <c r="R38" s="312"/>
    </row>
    <row r="39" spans="1:18" ht="16">
      <c r="A39" s="312"/>
      <c r="B39" s="312"/>
      <c r="C39" s="312"/>
      <c r="D39" s="312"/>
      <c r="E39" s="312"/>
      <c r="F39" s="312"/>
      <c r="G39" s="312"/>
      <c r="H39" s="312"/>
      <c r="I39" s="312"/>
      <c r="J39" s="312"/>
      <c r="K39" s="312"/>
      <c r="L39" s="312"/>
      <c r="M39" s="312"/>
      <c r="N39" s="312"/>
      <c r="O39" s="312"/>
      <c r="P39" s="312"/>
      <c r="Q39" s="312"/>
      <c r="R39" s="312"/>
    </row>
    <row r="40" spans="1:18" ht="16">
      <c r="A40" s="312"/>
      <c r="B40" s="312"/>
      <c r="C40" s="312"/>
      <c r="D40" s="312"/>
      <c r="E40" s="312"/>
      <c r="F40" s="312"/>
      <c r="G40" s="312"/>
      <c r="H40" s="312"/>
      <c r="I40" s="312"/>
      <c r="J40" s="312"/>
      <c r="K40" s="312"/>
      <c r="L40" s="312"/>
      <c r="M40" s="312"/>
      <c r="N40" s="312"/>
      <c r="O40" s="312"/>
      <c r="P40" s="312"/>
      <c r="Q40" s="312"/>
      <c r="R40" s="312"/>
    </row>
    <row r="41" spans="1:18" ht="16">
      <c r="A41" s="312"/>
      <c r="B41" s="312"/>
      <c r="C41" s="312"/>
      <c r="D41" s="312"/>
      <c r="E41" s="312"/>
      <c r="F41" s="312"/>
      <c r="G41" s="312"/>
      <c r="H41" s="312"/>
      <c r="I41" s="312"/>
      <c r="J41" s="312"/>
      <c r="K41" s="312"/>
      <c r="L41" s="312"/>
      <c r="M41" s="312"/>
      <c r="N41" s="312"/>
      <c r="O41" s="312"/>
      <c r="P41" s="312"/>
      <c r="Q41" s="312"/>
      <c r="R41" s="312"/>
    </row>
    <row r="42" spans="1:18" ht="16">
      <c r="A42" s="312"/>
      <c r="B42" s="312"/>
      <c r="C42" s="312"/>
      <c r="D42" s="312"/>
      <c r="E42" s="312"/>
      <c r="F42" s="312"/>
      <c r="G42" s="312"/>
      <c r="H42" s="312"/>
      <c r="I42" s="312"/>
      <c r="J42" s="312"/>
      <c r="K42" s="312"/>
      <c r="L42" s="312"/>
      <c r="M42" s="312"/>
      <c r="N42" s="312"/>
      <c r="O42" s="312"/>
      <c r="P42" s="312"/>
      <c r="Q42" s="312"/>
      <c r="R42" s="312"/>
    </row>
    <row r="43" spans="1:18" ht="16">
      <c r="A43" s="312"/>
      <c r="B43" s="312"/>
      <c r="C43" s="312"/>
      <c r="D43" s="312"/>
      <c r="E43" s="312"/>
      <c r="F43" s="312"/>
      <c r="G43" s="312"/>
      <c r="H43" s="312"/>
      <c r="I43" s="312"/>
      <c r="J43" s="312"/>
      <c r="K43" s="312"/>
      <c r="L43" s="312"/>
      <c r="M43" s="312"/>
      <c r="N43" s="312"/>
      <c r="O43" s="312"/>
      <c r="P43" s="312"/>
      <c r="Q43" s="312"/>
      <c r="R43" s="312"/>
    </row>
    <row r="44" spans="1:18" ht="16">
      <c r="A44" s="312"/>
      <c r="B44" s="312"/>
      <c r="C44" s="312"/>
      <c r="D44" s="312"/>
      <c r="E44" s="312"/>
      <c r="F44" s="312"/>
      <c r="G44" s="312"/>
      <c r="H44" s="312"/>
      <c r="I44" s="312"/>
      <c r="J44" s="312"/>
      <c r="K44" s="312"/>
      <c r="L44" s="312"/>
      <c r="M44" s="312"/>
      <c r="N44" s="312"/>
      <c r="O44" s="312"/>
      <c r="P44" s="312"/>
      <c r="Q44" s="312"/>
      <c r="R44" s="312"/>
    </row>
    <row r="45" spans="1:18" ht="16">
      <c r="A45" s="312"/>
      <c r="B45" s="312"/>
      <c r="C45" s="312"/>
      <c r="D45" s="312"/>
      <c r="E45" s="312"/>
      <c r="F45" s="312"/>
      <c r="G45" s="312"/>
      <c r="H45" s="312"/>
      <c r="I45" s="312"/>
      <c r="J45" s="312"/>
      <c r="K45" s="312"/>
      <c r="L45" s="312"/>
      <c r="M45" s="312"/>
      <c r="N45" s="312"/>
      <c r="O45" s="312"/>
      <c r="P45" s="312"/>
      <c r="Q45" s="312"/>
      <c r="R45" s="312"/>
    </row>
    <row r="46" spans="1:18" ht="16">
      <c r="A46" s="312"/>
      <c r="B46" s="312"/>
      <c r="C46" s="312"/>
      <c r="D46" s="312"/>
      <c r="E46" s="312"/>
      <c r="F46" s="312"/>
      <c r="G46" s="312"/>
      <c r="H46" s="312"/>
      <c r="I46" s="312"/>
      <c r="J46" s="312"/>
      <c r="K46" s="312"/>
      <c r="L46" s="312"/>
      <c r="M46" s="312"/>
      <c r="N46" s="312"/>
      <c r="O46" s="312"/>
      <c r="P46" s="312"/>
      <c r="Q46" s="312"/>
      <c r="R46" s="312"/>
    </row>
    <row r="47" spans="1:18" ht="16">
      <c r="A47" s="312"/>
      <c r="B47" s="312"/>
      <c r="C47" s="312"/>
      <c r="D47" s="312"/>
      <c r="E47" s="312"/>
      <c r="F47" s="312"/>
      <c r="G47" s="312"/>
      <c r="H47" s="312"/>
      <c r="I47" s="312"/>
      <c r="J47" s="312"/>
      <c r="K47" s="312"/>
      <c r="L47" s="312"/>
      <c r="M47" s="312"/>
      <c r="N47" s="312"/>
      <c r="O47" s="312"/>
      <c r="P47" s="312"/>
      <c r="Q47" s="312"/>
      <c r="R47" s="312"/>
    </row>
    <row r="48" spans="1:18" ht="16">
      <c r="A48" s="312"/>
      <c r="B48" s="312"/>
      <c r="C48" s="312"/>
      <c r="D48" s="312"/>
      <c r="E48" s="312"/>
      <c r="F48" s="312"/>
      <c r="G48" s="312"/>
      <c r="H48" s="312"/>
      <c r="I48" s="312"/>
      <c r="J48" s="312"/>
      <c r="K48" s="312"/>
      <c r="L48" s="312"/>
      <c r="M48" s="312"/>
      <c r="N48" s="312"/>
      <c r="O48" s="312"/>
      <c r="P48" s="312"/>
      <c r="Q48" s="312"/>
      <c r="R48" s="312"/>
    </row>
    <row r="49" spans="1:18" ht="16">
      <c r="A49" s="312"/>
      <c r="B49" s="312"/>
      <c r="C49" s="312"/>
      <c r="D49" s="312"/>
      <c r="E49" s="312"/>
      <c r="F49" s="312"/>
      <c r="G49" s="312"/>
      <c r="H49" s="312"/>
      <c r="I49" s="312"/>
      <c r="J49" s="312"/>
      <c r="K49" s="312"/>
      <c r="L49" s="312"/>
      <c r="M49" s="312"/>
      <c r="N49" s="312"/>
      <c r="O49" s="312"/>
      <c r="P49" s="312"/>
      <c r="Q49" s="312"/>
      <c r="R49" s="312"/>
    </row>
    <row r="50" spans="1:18" ht="16">
      <c r="A50" s="312"/>
      <c r="B50" s="312"/>
      <c r="C50" s="312"/>
      <c r="D50" s="312"/>
      <c r="E50" s="312"/>
      <c r="F50" s="312"/>
      <c r="G50" s="312"/>
      <c r="H50" s="312"/>
      <c r="I50" s="312"/>
      <c r="J50" s="312"/>
      <c r="K50" s="312"/>
      <c r="L50" s="312"/>
      <c r="M50" s="312"/>
      <c r="N50" s="312"/>
      <c r="O50" s="312"/>
      <c r="P50" s="312"/>
      <c r="Q50" s="312"/>
      <c r="R50" s="312"/>
    </row>
  </sheetData>
  <mergeCells count="2">
    <mergeCell ref="A6:N6"/>
    <mergeCell ref="A14:A15"/>
  </mergeCells>
  <phoneticPr fontId="112" type="noConversion"/>
  <hyperlinks>
    <hyperlink ref="A1" location="Index!A1" display="Index" xr:uid="{43968F76-0AD4-9946-BC74-397ECCC1A2DE}"/>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outlinePr summaryBelow="0" summaryRight="0"/>
  </sheetPr>
  <dimension ref="A1:Z98"/>
  <sheetViews>
    <sheetView zoomScale="94" zoomScaleNormal="50" workbookViewId="0">
      <selection activeCell="K96" sqref="K96"/>
    </sheetView>
  </sheetViews>
  <sheetFormatPr baseColWidth="10" defaultColWidth="14.33203125" defaultRowHeight="15.75" customHeight="1"/>
  <cols>
    <col min="1" max="1" width="34.6640625" customWidth="1"/>
    <col min="2" max="2" width="16.5" customWidth="1"/>
    <col min="3" max="3" width="14.6640625" customWidth="1"/>
    <col min="4" max="4" width="15.33203125" customWidth="1"/>
    <col min="5" max="5" width="13.5" customWidth="1"/>
    <col min="6" max="6" width="14.6640625" customWidth="1"/>
    <col min="7" max="7" width="18.1640625" customWidth="1"/>
    <col min="8" max="8" width="19.5" customWidth="1"/>
    <col min="9" max="9" width="17.6640625" customWidth="1"/>
    <col min="13" max="13" width="18.83203125" customWidth="1"/>
    <col min="15" max="15" width="29.33203125" customWidth="1"/>
  </cols>
  <sheetData>
    <row r="1" spans="1:26" ht="25">
      <c r="A1" s="438" t="s">
        <v>0</v>
      </c>
    </row>
    <row r="2" spans="1:26" ht="17" thickBot="1">
      <c r="O2" s="3"/>
      <c r="P2" s="3"/>
      <c r="Q2" s="3"/>
      <c r="R2" s="3"/>
      <c r="S2" s="3"/>
      <c r="T2" s="3"/>
      <c r="U2" s="3"/>
      <c r="V2" s="3"/>
    </row>
    <row r="3" spans="1:26" ht="22" thickTop="1" thickBot="1">
      <c r="A3" s="1128" t="s">
        <v>85</v>
      </c>
      <c r="B3" s="733"/>
      <c r="C3" s="734"/>
      <c r="D3" s="734"/>
      <c r="E3" s="734"/>
      <c r="F3" s="734"/>
      <c r="G3" s="734"/>
      <c r="H3" s="734"/>
      <c r="I3" s="734"/>
      <c r="J3" s="734"/>
      <c r="K3" s="734"/>
      <c r="L3" s="735"/>
      <c r="M3" s="3"/>
      <c r="N3" s="3"/>
    </row>
    <row r="4" spans="1:26" ht="21.75" customHeight="1" thickBot="1">
      <c r="A4" s="752" t="s">
        <v>743</v>
      </c>
      <c r="B4" s="1099">
        <f>'MK Bases Model (Base Case)'!B16</f>
        <v>12788.862937661439</v>
      </c>
      <c r="C4" s="754" t="s">
        <v>884</v>
      </c>
      <c r="D4" s="1100">
        <f>'MK Bases Model (Base Case)'!B18</f>
        <v>2159455.7780210595</v>
      </c>
      <c r="E4" s="3"/>
      <c r="F4" s="3"/>
      <c r="G4" s="3"/>
      <c r="H4" s="3"/>
      <c r="I4" s="3"/>
      <c r="J4" s="3"/>
      <c r="K4" s="3"/>
      <c r="L4" s="615"/>
      <c r="M4" s="3"/>
      <c r="N4" s="3"/>
      <c r="W4" s="706"/>
      <c r="X4" s="706"/>
      <c r="Y4" s="706"/>
      <c r="Z4" s="706"/>
    </row>
    <row r="5" spans="1:26" ht="119">
      <c r="A5" s="1134" t="s">
        <v>744</v>
      </c>
      <c r="B5" s="1135" t="s">
        <v>745</v>
      </c>
      <c r="C5" s="1135" t="s">
        <v>746</v>
      </c>
      <c r="D5" s="1135" t="s">
        <v>747</v>
      </c>
      <c r="E5" s="1135" t="s">
        <v>748</v>
      </c>
      <c r="F5" s="1135" t="s">
        <v>749</v>
      </c>
      <c r="G5" s="1135" t="s">
        <v>750</v>
      </c>
      <c r="H5" s="1135" t="s">
        <v>751</v>
      </c>
      <c r="I5" s="1135" t="s">
        <v>752</v>
      </c>
      <c r="J5" s="1135" t="s">
        <v>753</v>
      </c>
      <c r="K5" s="1135" t="s">
        <v>754</v>
      </c>
      <c r="L5" s="1136" t="s">
        <v>755</v>
      </c>
      <c r="M5" s="3"/>
      <c r="N5" s="3"/>
      <c r="W5" s="706"/>
      <c r="X5" s="706"/>
      <c r="Y5" s="706"/>
      <c r="Z5" s="706"/>
    </row>
    <row r="6" spans="1:26" ht="16">
      <c r="A6" s="1132" t="s">
        <v>756</v>
      </c>
      <c r="B6" s="1061" t="s">
        <v>396</v>
      </c>
      <c r="C6" s="1061" t="s">
        <v>202</v>
      </c>
      <c r="D6" s="1101">
        <f>'MK Price to Channel'!C5</f>
        <v>0.86</v>
      </c>
      <c r="E6" s="1102">
        <f t="shared" ref="E6:E7" si="0">$B$4*D6</f>
        <v>10998.422126388838</v>
      </c>
      <c r="F6" s="1510">
        <v>3</v>
      </c>
      <c r="G6" s="1511">
        <v>4</v>
      </c>
      <c r="H6" s="1104">
        <f t="shared" ref="H6:H7" si="1">E6/F6/G6</f>
        <v>916.53517719906984</v>
      </c>
      <c r="I6" s="1105">
        <f>I54</f>
        <v>1.3016666666666665</v>
      </c>
      <c r="J6" s="1105">
        <f t="shared" ref="J6:J7" si="2">I6*H6</f>
        <v>1193.0232889874558</v>
      </c>
      <c r="K6" s="1105">
        <f t="shared" ref="K6:K7" si="3">J6*G6</f>
        <v>4772.0931559498231</v>
      </c>
      <c r="L6" s="1107">
        <f t="shared" ref="L6:L7" si="4">K6*F6</f>
        <v>14316.279467849468</v>
      </c>
      <c r="M6" s="3"/>
      <c r="N6" s="736"/>
      <c r="W6" s="706"/>
      <c r="X6" s="706"/>
      <c r="Y6" s="706"/>
      <c r="Z6" s="706"/>
    </row>
    <row r="7" spans="1:26" ht="86" thickBot="1">
      <c r="A7" s="1133" t="s">
        <v>757</v>
      </c>
      <c r="B7" s="1108" t="s">
        <v>396</v>
      </c>
      <c r="C7" s="1109" t="s">
        <v>758</v>
      </c>
      <c r="D7" s="1110">
        <f>'MK Price to Channel'!C4</f>
        <v>0.14000000000000001</v>
      </c>
      <c r="E7" s="1111">
        <f t="shared" si="0"/>
        <v>1790.4408112726016</v>
      </c>
      <c r="F7" s="1512">
        <v>11</v>
      </c>
      <c r="G7" s="1513">
        <v>2</v>
      </c>
      <c r="H7" s="1113">
        <f t="shared" si="1"/>
        <v>81.383673239663707</v>
      </c>
      <c r="I7" s="1114">
        <f>I57</f>
        <v>1.3969999999999998</v>
      </c>
      <c r="J7" s="1114">
        <f t="shared" si="2"/>
        <v>113.69299151581018</v>
      </c>
      <c r="K7" s="1114">
        <f t="shared" si="3"/>
        <v>227.38598303162036</v>
      </c>
      <c r="L7" s="1115">
        <f t="shared" si="4"/>
        <v>2501.245813347824</v>
      </c>
      <c r="M7" s="741" t="s">
        <v>760</v>
      </c>
      <c r="N7" s="736"/>
      <c r="W7" s="706"/>
      <c r="X7" s="706"/>
      <c r="Y7" s="706"/>
      <c r="Z7" s="706"/>
    </row>
    <row r="8" spans="1:26" ht="17" thickBot="1">
      <c r="A8" s="737"/>
      <c r="B8" s="3"/>
      <c r="C8" s="3"/>
      <c r="D8" s="3"/>
      <c r="E8" s="3"/>
      <c r="F8" s="3"/>
      <c r="G8" s="3"/>
      <c r="H8" s="3"/>
      <c r="I8" s="738" t="s">
        <v>759</v>
      </c>
      <c r="J8" s="739">
        <f t="shared" ref="J8:L8" si="5">SUM(J6:J7)</f>
        <v>1306.716280503266</v>
      </c>
      <c r="K8" s="739">
        <f t="shared" si="5"/>
        <v>4999.4791389814436</v>
      </c>
      <c r="L8" s="740">
        <f t="shared" si="5"/>
        <v>16817.525281197293</v>
      </c>
      <c r="M8" s="132">
        <f>L8/D4</f>
        <v>7.787853519560837E-3</v>
      </c>
      <c r="W8" s="706"/>
      <c r="X8" s="706"/>
      <c r="Y8" s="706"/>
      <c r="Z8" s="706"/>
    </row>
    <row r="9" spans="1:26" ht="17" thickTop="1">
      <c r="A9" s="734"/>
      <c r="B9" s="734"/>
      <c r="C9" s="734"/>
      <c r="D9" s="734"/>
      <c r="E9" s="734"/>
      <c r="F9" s="734"/>
      <c r="G9" s="734"/>
      <c r="H9" s="734"/>
      <c r="N9" s="3"/>
      <c r="W9" s="706"/>
      <c r="X9" s="706"/>
      <c r="Y9" s="706"/>
      <c r="Z9" s="706"/>
    </row>
    <row r="10" spans="1:26" ht="13">
      <c r="W10" s="706"/>
      <c r="X10" s="706"/>
      <c r="Y10" s="706"/>
      <c r="Z10" s="706"/>
    </row>
    <row r="11" spans="1:26" ht="14" thickBot="1">
      <c r="W11" s="706"/>
      <c r="X11" s="706"/>
      <c r="Y11" s="706"/>
      <c r="Z11" s="706"/>
    </row>
    <row r="12" spans="1:26" ht="22" thickTop="1" thickBot="1">
      <c r="A12" s="1128" t="s">
        <v>86</v>
      </c>
      <c r="B12" s="733"/>
      <c r="C12" s="734"/>
      <c r="D12" s="734"/>
      <c r="E12" s="734"/>
      <c r="F12" s="734"/>
      <c r="G12" s="734"/>
      <c r="H12" s="734"/>
      <c r="I12" s="734"/>
      <c r="J12" s="734"/>
      <c r="K12" s="734"/>
      <c r="L12" s="735"/>
      <c r="M12" s="3"/>
      <c r="N12" s="3"/>
      <c r="W12" s="706"/>
      <c r="X12" s="706"/>
      <c r="Y12" s="706"/>
      <c r="Z12" s="706"/>
    </row>
    <row r="13" spans="1:26" ht="17" thickBot="1">
      <c r="A13" s="752" t="s">
        <v>761</v>
      </c>
      <c r="B13" s="1099">
        <f>'MK Bases Model (Base Case)'!C16</f>
        <v>18290.759828011393</v>
      </c>
      <c r="C13" s="754" t="s">
        <v>884</v>
      </c>
      <c r="D13" s="1100">
        <f>'MK Bases Model (Base Case)'!C18</f>
        <v>3124032.5134086213</v>
      </c>
      <c r="E13" s="3"/>
      <c r="F13" s="3"/>
      <c r="G13" s="3"/>
      <c r="H13" s="3"/>
      <c r="I13" s="3"/>
      <c r="J13" s="3"/>
      <c r="K13" s="3"/>
      <c r="L13" s="615"/>
      <c r="M13" s="3"/>
      <c r="N13" s="3"/>
      <c r="W13" s="706"/>
      <c r="X13" s="706"/>
      <c r="Y13" s="706"/>
      <c r="Z13" s="706"/>
    </row>
    <row r="14" spans="1:26" ht="119">
      <c r="A14" s="1134" t="s">
        <v>744</v>
      </c>
      <c r="B14" s="1135" t="s">
        <v>745</v>
      </c>
      <c r="C14" s="1135" t="s">
        <v>746</v>
      </c>
      <c r="D14" s="1135" t="s">
        <v>747</v>
      </c>
      <c r="E14" s="1135" t="s">
        <v>748</v>
      </c>
      <c r="F14" s="1135" t="s">
        <v>749</v>
      </c>
      <c r="G14" s="1135" t="s">
        <v>750</v>
      </c>
      <c r="H14" s="1135" t="s">
        <v>751</v>
      </c>
      <c r="I14" s="1135" t="s">
        <v>752</v>
      </c>
      <c r="J14" s="1135" t="s">
        <v>753</v>
      </c>
      <c r="K14" s="1135" t="s">
        <v>754</v>
      </c>
      <c r="L14" s="1136" t="s">
        <v>755</v>
      </c>
      <c r="M14" s="3"/>
      <c r="N14" s="3"/>
      <c r="W14" s="706"/>
      <c r="X14" s="706"/>
      <c r="Y14" s="706"/>
      <c r="Z14" s="706"/>
    </row>
    <row r="15" spans="1:26" ht="16">
      <c r="A15" s="1132" t="s">
        <v>756</v>
      </c>
      <c r="B15" s="1061" t="s">
        <v>396</v>
      </c>
      <c r="C15" s="1061" t="s">
        <v>202</v>
      </c>
      <c r="D15" s="1101">
        <f>'MK Price to Channel'!C12</f>
        <v>0.71</v>
      </c>
      <c r="E15" s="1104">
        <f>$B$13*D15</f>
        <v>12986.439477888089</v>
      </c>
      <c r="F15" s="1510">
        <v>3</v>
      </c>
      <c r="G15" s="1514">
        <v>4</v>
      </c>
      <c r="H15" s="1118">
        <f t="shared" ref="H15:H16" si="6">E15/F15/G15</f>
        <v>1082.2032898240075</v>
      </c>
      <c r="I15" s="1105">
        <f>I54</f>
        <v>1.3016666666666665</v>
      </c>
      <c r="J15" s="1105">
        <f t="shared" ref="J15:J16" si="7">I15*H15</f>
        <v>1408.6679489209162</v>
      </c>
      <c r="K15" s="1105">
        <f t="shared" ref="K15:K16" si="8">J15*G15</f>
        <v>5634.6717956836646</v>
      </c>
      <c r="L15" s="1107">
        <f t="shared" ref="L15:L16" si="9">K15*F15</f>
        <v>16904.015387050993</v>
      </c>
      <c r="M15" s="3"/>
      <c r="N15" s="3"/>
      <c r="W15" s="706"/>
      <c r="X15" s="706"/>
      <c r="Y15" s="706"/>
      <c r="Z15" s="706"/>
    </row>
    <row r="16" spans="1:26" ht="86" thickBot="1">
      <c r="A16" s="1133" t="s">
        <v>757</v>
      </c>
      <c r="B16" s="1108" t="s">
        <v>396</v>
      </c>
      <c r="C16" s="1109" t="s">
        <v>758</v>
      </c>
      <c r="D16" s="1110">
        <f>'MK Price to Channel'!C11</f>
        <v>0.28999999999999998</v>
      </c>
      <c r="E16" s="1113">
        <f>$B$13*D16</f>
        <v>5304.3203501233038</v>
      </c>
      <c r="F16" s="1512">
        <v>11</v>
      </c>
      <c r="G16" s="1515">
        <v>2</v>
      </c>
      <c r="H16" s="1119">
        <f t="shared" si="6"/>
        <v>241.10547046015017</v>
      </c>
      <c r="I16" s="1114">
        <f>I57</f>
        <v>1.3969999999999998</v>
      </c>
      <c r="J16" s="1114">
        <f t="shared" si="7"/>
        <v>336.82434223282974</v>
      </c>
      <c r="K16" s="1114">
        <f t="shared" si="8"/>
        <v>673.64868446565947</v>
      </c>
      <c r="L16" s="1115">
        <f t="shared" si="9"/>
        <v>7410.1355291222544</v>
      </c>
      <c r="M16" s="741" t="s">
        <v>760</v>
      </c>
      <c r="N16" s="3"/>
      <c r="W16" s="706"/>
      <c r="X16" s="706"/>
      <c r="Y16" s="706"/>
      <c r="Z16" s="706"/>
    </row>
    <row r="17" spans="1:26" ht="17" thickBot="1">
      <c r="A17" s="737"/>
      <c r="B17" s="3"/>
      <c r="C17" s="3"/>
      <c r="D17" s="3"/>
      <c r="E17" s="3"/>
      <c r="F17" s="3"/>
      <c r="G17" s="3"/>
      <c r="H17" s="3"/>
      <c r="I17" s="1116" t="s">
        <v>759</v>
      </c>
      <c r="J17" s="1117">
        <f t="shared" ref="J17:L17" si="10">SUM(J15:J16)</f>
        <v>1745.492291153746</v>
      </c>
      <c r="K17" s="739">
        <f t="shared" si="10"/>
        <v>6308.3204801493239</v>
      </c>
      <c r="L17" s="740">
        <f t="shared" si="10"/>
        <v>24314.150916173247</v>
      </c>
      <c r="M17" s="132">
        <f>L17/D13</f>
        <v>7.7829378573413622E-3</v>
      </c>
      <c r="W17" s="706"/>
      <c r="X17" s="706"/>
      <c r="Y17" s="706"/>
      <c r="Z17" s="706"/>
    </row>
    <row r="18" spans="1:26" ht="17" thickTop="1">
      <c r="A18" s="734"/>
      <c r="B18" s="734"/>
      <c r="C18" s="734"/>
      <c r="D18" s="734"/>
      <c r="E18" s="734"/>
      <c r="F18" s="734"/>
      <c r="G18" s="734"/>
      <c r="H18" s="734"/>
      <c r="N18" s="3"/>
      <c r="W18" s="706"/>
      <c r="X18" s="706"/>
      <c r="Y18" s="706"/>
      <c r="Z18" s="706"/>
    </row>
    <row r="19" spans="1:26" ht="13">
      <c r="W19" s="706"/>
      <c r="X19" s="706"/>
      <c r="Y19" s="706"/>
      <c r="Z19" s="706"/>
    </row>
    <row r="20" spans="1:26" ht="14" thickBot="1">
      <c r="W20" s="706"/>
      <c r="X20" s="706"/>
      <c r="Y20" s="706"/>
      <c r="Z20" s="706"/>
    </row>
    <row r="21" spans="1:26" ht="22" thickTop="1" thickBot="1">
      <c r="A21" s="1129" t="s">
        <v>87</v>
      </c>
      <c r="B21" s="733"/>
      <c r="C21" s="734"/>
      <c r="D21" s="734"/>
      <c r="E21" s="734"/>
      <c r="F21" s="734"/>
      <c r="G21" s="734"/>
      <c r="H21" s="734"/>
      <c r="I21" s="734"/>
      <c r="J21" s="734"/>
      <c r="K21" s="734"/>
      <c r="L21" s="735"/>
      <c r="M21" s="3"/>
      <c r="N21" s="3"/>
      <c r="W21" s="706"/>
      <c r="X21" s="706"/>
      <c r="Y21" s="706"/>
      <c r="Z21" s="706"/>
    </row>
    <row r="22" spans="1:26" ht="17" thickBot="1">
      <c r="A22" s="752" t="s">
        <v>762</v>
      </c>
      <c r="B22" s="1099">
        <f>'MK Bases Model (Base Case)'!D16</f>
        <v>44086.151570867165</v>
      </c>
      <c r="C22" s="754" t="s">
        <v>884</v>
      </c>
      <c r="D22" s="1100">
        <f>'MK Bases Model (Base Case)'!D18</f>
        <v>7408441.4697118076</v>
      </c>
      <c r="E22" s="3"/>
      <c r="F22" s="3"/>
      <c r="G22" s="3"/>
      <c r="H22" s="3"/>
      <c r="I22" s="3"/>
      <c r="J22" s="3"/>
      <c r="K22" s="3"/>
      <c r="L22" s="615"/>
      <c r="M22" s="3"/>
      <c r="N22" s="3"/>
      <c r="W22" s="706"/>
      <c r="X22" s="706"/>
      <c r="Y22" s="706"/>
      <c r="Z22" s="706"/>
    </row>
    <row r="23" spans="1:26" ht="119">
      <c r="A23" s="1134" t="s">
        <v>744</v>
      </c>
      <c r="B23" s="1135" t="s">
        <v>745</v>
      </c>
      <c r="C23" s="1135" t="s">
        <v>746</v>
      </c>
      <c r="D23" s="1135" t="s">
        <v>747</v>
      </c>
      <c r="E23" s="1135" t="s">
        <v>748</v>
      </c>
      <c r="F23" s="1135" t="s">
        <v>749</v>
      </c>
      <c r="G23" s="1135" t="s">
        <v>750</v>
      </c>
      <c r="H23" s="1135" t="s">
        <v>751</v>
      </c>
      <c r="I23" s="1135" t="s">
        <v>752</v>
      </c>
      <c r="J23" s="1135" t="s">
        <v>753</v>
      </c>
      <c r="K23" s="1135" t="s">
        <v>754</v>
      </c>
      <c r="L23" s="1136" t="s">
        <v>755</v>
      </c>
      <c r="M23" s="3"/>
      <c r="N23" s="3"/>
      <c r="W23" s="706"/>
      <c r="X23" s="706"/>
      <c r="Y23" s="706"/>
      <c r="Z23" s="706"/>
    </row>
    <row r="24" spans="1:26" ht="16">
      <c r="A24" s="1132" t="s">
        <v>756</v>
      </c>
      <c r="B24" s="1061" t="s">
        <v>396</v>
      </c>
      <c r="C24" s="1061" t="s">
        <v>202</v>
      </c>
      <c r="D24" s="1101">
        <f>'MK Price to Channel'!C19</f>
        <v>0.54500000000000004</v>
      </c>
      <c r="E24" s="1104">
        <f>$B$22*D24</f>
        <v>24026.952606122606</v>
      </c>
      <c r="F24" s="1510">
        <v>3</v>
      </c>
      <c r="G24" s="1511">
        <v>4</v>
      </c>
      <c r="H24" s="1104">
        <f t="shared" ref="H24:H26" si="11">E24/F24/G24</f>
        <v>2002.2460505102172</v>
      </c>
      <c r="I24" s="1105">
        <f>I54</f>
        <v>1.3016666666666665</v>
      </c>
      <c r="J24" s="1105">
        <f t="shared" ref="J24:J26" si="12">I24*H24</f>
        <v>2606.2569424141325</v>
      </c>
      <c r="K24" s="1105">
        <f t="shared" ref="K24:K26" si="13">J24*G24</f>
        <v>10425.02776965653</v>
      </c>
      <c r="L24" s="1107">
        <f t="shared" ref="L24:L26" si="14">K24*F24</f>
        <v>31275.083308969588</v>
      </c>
      <c r="M24" s="3"/>
      <c r="N24" s="3"/>
      <c r="W24" s="706"/>
      <c r="X24" s="706"/>
      <c r="Y24" s="706"/>
      <c r="Z24" s="706"/>
    </row>
    <row r="25" spans="1:26" ht="85">
      <c r="A25" s="1132" t="s">
        <v>757</v>
      </c>
      <c r="B25" s="1061" t="s">
        <v>396</v>
      </c>
      <c r="C25" s="1106" t="s">
        <v>758</v>
      </c>
      <c r="D25" s="1101">
        <f>'MK Price to Channel'!C18</f>
        <v>0.27300000000000002</v>
      </c>
      <c r="E25" s="1104">
        <f>$B$22*D25</f>
        <v>12035.519378846737</v>
      </c>
      <c r="F25" s="1510">
        <v>11</v>
      </c>
      <c r="G25" s="1511">
        <v>2</v>
      </c>
      <c r="H25" s="1104">
        <f t="shared" si="11"/>
        <v>547.06906267485169</v>
      </c>
      <c r="I25" s="1105">
        <f>I57</f>
        <v>1.3969999999999998</v>
      </c>
      <c r="J25" s="1105">
        <f t="shared" si="12"/>
        <v>764.25548055676768</v>
      </c>
      <c r="K25" s="1105">
        <f t="shared" si="13"/>
        <v>1528.5109611135354</v>
      </c>
      <c r="L25" s="1107">
        <f t="shared" si="14"/>
        <v>16813.620572248888</v>
      </c>
      <c r="M25" s="3"/>
      <c r="N25" s="3"/>
      <c r="W25" s="706"/>
      <c r="X25" s="706"/>
      <c r="Y25" s="706"/>
      <c r="Z25" s="706"/>
    </row>
    <row r="26" spans="1:26" ht="18" thickBot="1">
      <c r="A26" s="1133" t="s">
        <v>763</v>
      </c>
      <c r="B26" s="1108" t="s">
        <v>764</v>
      </c>
      <c r="C26" s="1108" t="s">
        <v>765</v>
      </c>
      <c r="D26" s="1110">
        <f>'MK Price to Channel'!C20</f>
        <v>0.182</v>
      </c>
      <c r="E26" s="1113">
        <f>$B$22*D26</f>
        <v>8023.6795858978239</v>
      </c>
      <c r="F26" s="1512">
        <v>4</v>
      </c>
      <c r="G26" s="1513">
        <v>4</v>
      </c>
      <c r="H26" s="1113">
        <f t="shared" si="11"/>
        <v>501.479974118614</v>
      </c>
      <c r="I26" s="1114">
        <f>I68</f>
        <v>1.4437499999999999</v>
      </c>
      <c r="J26" s="1114">
        <f t="shared" si="12"/>
        <v>724.01171263374886</v>
      </c>
      <c r="K26" s="1114">
        <f t="shared" si="13"/>
        <v>2896.0468505349954</v>
      </c>
      <c r="L26" s="1115">
        <f t="shared" si="14"/>
        <v>11584.187402139982</v>
      </c>
      <c r="M26" s="741" t="s">
        <v>760</v>
      </c>
      <c r="N26" s="3"/>
      <c r="W26" s="706"/>
      <c r="X26" s="706"/>
      <c r="Y26" s="706"/>
      <c r="Z26" s="706"/>
    </row>
    <row r="27" spans="1:26" ht="17" thickBot="1">
      <c r="A27" s="742"/>
      <c r="B27" s="743"/>
      <c r="C27" s="743"/>
      <c r="D27" s="743"/>
      <c r="E27" s="743"/>
      <c r="F27" s="743"/>
      <c r="G27" s="743"/>
      <c r="H27" s="743"/>
      <c r="I27" s="1120" t="s">
        <v>759</v>
      </c>
      <c r="J27" s="1121">
        <f t="shared" ref="J27:L27" si="15">SUM(J24:J26)</f>
        <v>4094.524135604649</v>
      </c>
      <c r="K27" s="1121">
        <f t="shared" si="15"/>
        <v>14849.585581305062</v>
      </c>
      <c r="L27" s="1121">
        <f t="shared" si="15"/>
        <v>59672.891283358462</v>
      </c>
      <c r="M27" s="132">
        <f>L27/D22</f>
        <v>8.0547158977122574E-3</v>
      </c>
      <c r="W27" s="706"/>
      <c r="X27" s="706"/>
      <c r="Y27" s="706"/>
      <c r="Z27" s="706"/>
    </row>
    <row r="28" spans="1:26" ht="17" thickTop="1">
      <c r="A28" s="3"/>
      <c r="B28" s="3"/>
      <c r="C28" s="3"/>
      <c r="D28" s="3"/>
      <c r="E28" s="3"/>
      <c r="F28" s="3"/>
      <c r="G28" s="3"/>
      <c r="H28" s="3"/>
      <c r="N28" s="3"/>
      <c r="W28" s="706"/>
      <c r="X28" s="706"/>
      <c r="Y28" s="706"/>
      <c r="Z28" s="706"/>
    </row>
    <row r="29" spans="1:26" ht="13">
      <c r="W29" s="706"/>
      <c r="X29" s="706"/>
      <c r="Y29" s="706"/>
      <c r="Z29" s="706"/>
    </row>
    <row r="30" spans="1:26" ht="14" thickBot="1">
      <c r="W30" s="706"/>
      <c r="X30" s="706"/>
      <c r="Y30" s="706"/>
      <c r="Z30" s="706"/>
    </row>
    <row r="31" spans="1:26" ht="22" thickTop="1" thickBot="1">
      <c r="A31" s="1130" t="s">
        <v>88</v>
      </c>
      <c r="B31" s="744"/>
      <c r="C31" s="745"/>
      <c r="D31" s="745"/>
      <c r="E31" s="745"/>
      <c r="F31" s="745"/>
      <c r="G31" s="745"/>
      <c r="H31" s="745"/>
      <c r="I31" s="745"/>
      <c r="J31" s="745"/>
      <c r="K31" s="745"/>
      <c r="L31" s="746"/>
      <c r="M31" s="23"/>
      <c r="N31" s="3"/>
      <c r="W31" s="706"/>
      <c r="X31" s="706"/>
      <c r="Y31" s="706"/>
      <c r="Z31" s="706"/>
    </row>
    <row r="32" spans="1:26" ht="17" thickBot="1">
      <c r="A32" s="747" t="s">
        <v>766</v>
      </c>
      <c r="B32" s="748">
        <f>'MK Bases Model (Base Case)'!E16</f>
        <v>55491.996238476371</v>
      </c>
      <c r="C32" s="754" t="s">
        <v>884</v>
      </c>
      <c r="D32" s="755">
        <f>'MK Bases Model (Base Case)'!E18</f>
        <v>8860354.8769210577</v>
      </c>
      <c r="E32" s="23"/>
      <c r="F32" s="23"/>
      <c r="G32" s="23"/>
      <c r="H32" s="23"/>
      <c r="I32" s="23"/>
      <c r="J32" s="23"/>
      <c r="K32" s="23"/>
      <c r="L32" s="749"/>
      <c r="M32" s="23"/>
      <c r="N32" s="3"/>
      <c r="W32" s="706"/>
      <c r="X32" s="706"/>
      <c r="Y32" s="706"/>
      <c r="Z32" s="706"/>
    </row>
    <row r="33" spans="1:26" ht="119">
      <c r="A33" s="1134" t="s">
        <v>744</v>
      </c>
      <c r="B33" s="1135" t="s">
        <v>745</v>
      </c>
      <c r="C33" s="1135" t="s">
        <v>746</v>
      </c>
      <c r="D33" s="1135" t="s">
        <v>747</v>
      </c>
      <c r="E33" s="1135" t="s">
        <v>748</v>
      </c>
      <c r="F33" s="1135" t="s">
        <v>749</v>
      </c>
      <c r="G33" s="1135" t="s">
        <v>750</v>
      </c>
      <c r="H33" s="1135" t="s">
        <v>751</v>
      </c>
      <c r="I33" s="1135" t="s">
        <v>752</v>
      </c>
      <c r="J33" s="1135" t="s">
        <v>753</v>
      </c>
      <c r="K33" s="1135" t="s">
        <v>754</v>
      </c>
      <c r="L33" s="1136" t="s">
        <v>755</v>
      </c>
      <c r="M33" s="23"/>
      <c r="N33" s="3"/>
      <c r="W33" s="706"/>
      <c r="X33" s="706"/>
      <c r="Y33" s="706"/>
      <c r="Z33" s="706"/>
    </row>
    <row r="34" spans="1:26" ht="16">
      <c r="A34" s="1132" t="s">
        <v>756</v>
      </c>
      <c r="B34" s="1061" t="s">
        <v>396</v>
      </c>
      <c r="C34" s="1061" t="s">
        <v>202</v>
      </c>
      <c r="D34" s="1122">
        <f>'MK Price to Channel'!C27</f>
        <v>0.44400000000000001</v>
      </c>
      <c r="E34" s="1103">
        <f>D34*$B$32</f>
        <v>24638.446329883511</v>
      </c>
      <c r="F34" s="1510">
        <v>3</v>
      </c>
      <c r="G34" s="1510">
        <v>4</v>
      </c>
      <c r="H34" s="1103">
        <f t="shared" ref="H34:H37" si="16">E34/F34/G34</f>
        <v>2053.2038608236257</v>
      </c>
      <c r="I34" s="1123">
        <f>I54</f>
        <v>1.3016666666666665</v>
      </c>
      <c r="J34" s="1123">
        <f t="shared" ref="J34:J37" si="17">I34*H34</f>
        <v>2672.5870255054192</v>
      </c>
      <c r="K34" s="1123">
        <f t="shared" ref="K34:K37" si="18">J34*G34</f>
        <v>10690.348102021677</v>
      </c>
      <c r="L34" s="1124">
        <f t="shared" ref="L34:L37" si="19">K34*F34</f>
        <v>32071.044306065029</v>
      </c>
      <c r="M34" s="23"/>
      <c r="N34" s="3"/>
      <c r="W34" s="706"/>
      <c r="X34" s="706"/>
      <c r="Y34" s="706"/>
      <c r="Z34" s="706"/>
    </row>
    <row r="35" spans="1:26" ht="85">
      <c r="A35" s="1132" t="s">
        <v>757</v>
      </c>
      <c r="B35" s="1061" t="s">
        <v>396</v>
      </c>
      <c r="C35" s="1106" t="s">
        <v>758</v>
      </c>
      <c r="D35" s="1122">
        <f>'MK Price to Channel'!C26</f>
        <v>0.185</v>
      </c>
      <c r="E35" s="1103">
        <f>D35*$B$32</f>
        <v>10266.019304118128</v>
      </c>
      <c r="F35" s="1510">
        <v>11</v>
      </c>
      <c r="G35" s="1510">
        <v>2</v>
      </c>
      <c r="H35" s="1103">
        <f t="shared" si="16"/>
        <v>466.63724109627856</v>
      </c>
      <c r="I35" s="1123">
        <f>I57</f>
        <v>1.3969999999999998</v>
      </c>
      <c r="J35" s="1123">
        <f t="shared" si="17"/>
        <v>651.89222581150102</v>
      </c>
      <c r="K35" s="1123">
        <f t="shared" si="18"/>
        <v>1303.784451623002</v>
      </c>
      <c r="L35" s="1124">
        <f t="shared" si="19"/>
        <v>14341.628967853023</v>
      </c>
      <c r="M35" s="23"/>
      <c r="N35" s="3"/>
      <c r="W35" s="706"/>
      <c r="X35" s="706"/>
      <c r="Y35" s="706"/>
      <c r="Z35" s="706"/>
    </row>
    <row r="36" spans="1:26" ht="16">
      <c r="A36" s="1132" t="s">
        <v>763</v>
      </c>
      <c r="B36" s="1061" t="s">
        <v>764</v>
      </c>
      <c r="C36" s="1061" t="s">
        <v>765</v>
      </c>
      <c r="D36" s="1122">
        <f>'MK Price to Channel'!C28</f>
        <v>0.185</v>
      </c>
      <c r="E36" s="1103">
        <f>D36*$B$32</f>
        <v>10266.019304118128</v>
      </c>
      <c r="F36" s="1510">
        <v>4</v>
      </c>
      <c r="G36" s="1510">
        <v>4</v>
      </c>
      <c r="H36" s="1103">
        <f t="shared" si="16"/>
        <v>641.62620650738302</v>
      </c>
      <c r="I36" s="1123">
        <f>I68</f>
        <v>1.4437499999999999</v>
      </c>
      <c r="J36" s="1123">
        <f t="shared" si="17"/>
        <v>926.34783564503414</v>
      </c>
      <c r="K36" s="1123">
        <f t="shared" si="18"/>
        <v>3705.3913425801366</v>
      </c>
      <c r="L36" s="1124">
        <f t="shared" si="19"/>
        <v>14821.565370320546</v>
      </c>
      <c r="M36" s="23"/>
      <c r="N36" s="3"/>
      <c r="W36" s="706"/>
      <c r="X36" s="706"/>
      <c r="Y36" s="706"/>
      <c r="Z36" s="706"/>
    </row>
    <row r="37" spans="1:26" ht="18" thickBot="1">
      <c r="A37" s="1133" t="s">
        <v>767</v>
      </c>
      <c r="B37" s="1108" t="s">
        <v>768</v>
      </c>
      <c r="C37" s="1108" t="s">
        <v>769</v>
      </c>
      <c r="D37" s="1125">
        <f>'MK Price to Channel'!C29</f>
        <v>0.185</v>
      </c>
      <c r="E37" s="1112">
        <f>D37*$B$32</f>
        <v>10266.019304118128</v>
      </c>
      <c r="F37" s="1512">
        <v>4</v>
      </c>
      <c r="G37" s="1512">
        <v>4</v>
      </c>
      <c r="H37" s="1112">
        <f t="shared" si="16"/>
        <v>641.62620650738302</v>
      </c>
      <c r="I37" s="1126">
        <f>I72</f>
        <v>1.3832499999999999</v>
      </c>
      <c r="J37" s="1126">
        <f t="shared" si="17"/>
        <v>887.52945015133753</v>
      </c>
      <c r="K37" s="1126">
        <f t="shared" si="18"/>
        <v>3550.1178006053501</v>
      </c>
      <c r="L37" s="1127">
        <f t="shared" si="19"/>
        <v>14200.4712024214</v>
      </c>
      <c r="M37" s="741" t="s">
        <v>760</v>
      </c>
      <c r="N37" s="23"/>
      <c r="W37" s="706"/>
      <c r="X37" s="706"/>
      <c r="Y37" s="706"/>
      <c r="Z37" s="706"/>
    </row>
    <row r="38" spans="1:26" ht="17" thickBot="1">
      <c r="A38" s="756"/>
      <c r="B38" s="757"/>
      <c r="C38" s="757"/>
      <c r="D38" s="757"/>
      <c r="E38" s="757"/>
      <c r="F38" s="757"/>
      <c r="G38" s="757"/>
      <c r="H38" s="757"/>
      <c r="I38" s="759" t="s">
        <v>759</v>
      </c>
      <c r="J38" s="1847">
        <f t="shared" ref="J38:L38" si="20">SUM(J34:J37)</f>
        <v>5138.3565371132918</v>
      </c>
      <c r="K38" s="1847">
        <f t="shared" si="20"/>
        <v>19249.641696830164</v>
      </c>
      <c r="L38" s="1848">
        <f t="shared" si="20"/>
        <v>75434.70984666</v>
      </c>
      <c r="M38" s="114">
        <f>L38/D32</f>
        <v>8.5137345957945754E-3</v>
      </c>
      <c r="W38" s="706"/>
      <c r="X38" s="706"/>
      <c r="Y38" s="706"/>
      <c r="Z38" s="706"/>
    </row>
    <row r="39" spans="1:26" ht="17" thickTop="1">
      <c r="A39" s="23"/>
      <c r="B39" s="23"/>
      <c r="C39" s="23"/>
      <c r="D39" s="23"/>
      <c r="E39" s="23"/>
      <c r="F39" s="23"/>
      <c r="G39" s="23"/>
      <c r="H39" s="23"/>
      <c r="N39" s="23"/>
      <c r="W39" s="706"/>
      <c r="X39" s="706"/>
      <c r="Y39" s="706"/>
      <c r="Z39" s="706"/>
    </row>
    <row r="40" spans="1:26" ht="13">
      <c r="W40" s="706"/>
      <c r="X40" s="706"/>
      <c r="Y40" s="706"/>
      <c r="Z40" s="706"/>
    </row>
    <row r="41" spans="1:26" ht="14" thickBot="1">
      <c r="W41" s="706"/>
      <c r="X41" s="706"/>
      <c r="Y41" s="706"/>
      <c r="Z41" s="706"/>
    </row>
    <row r="42" spans="1:26" ht="22" thickTop="1" thickBot="1">
      <c r="A42" s="1131" t="s">
        <v>89</v>
      </c>
      <c r="B42" s="751"/>
      <c r="C42" s="745"/>
      <c r="D42" s="745"/>
      <c r="E42" s="745"/>
      <c r="F42" s="745"/>
      <c r="G42" s="745"/>
      <c r="H42" s="745"/>
      <c r="I42" s="745"/>
      <c r="J42" s="745"/>
      <c r="K42" s="745"/>
      <c r="L42" s="746"/>
      <c r="M42" s="23"/>
      <c r="N42" s="23"/>
      <c r="W42" s="706"/>
      <c r="X42" s="706"/>
      <c r="Y42" s="706"/>
      <c r="Z42" s="706"/>
    </row>
    <row r="43" spans="1:26" ht="17" thickBot="1">
      <c r="A43" s="752" t="s">
        <v>770</v>
      </c>
      <c r="B43" s="753">
        <f>'MK Bases Model (Base Case)'!F16</f>
        <v>71384.076452087247</v>
      </c>
      <c r="C43" s="754" t="s">
        <v>884</v>
      </c>
      <c r="D43" s="755">
        <f>'MK Bases Model (Base Case)'!F18</f>
        <v>11003055.883432986</v>
      </c>
      <c r="E43" s="23"/>
      <c r="F43" s="23"/>
      <c r="G43" s="23"/>
      <c r="H43" s="23"/>
      <c r="I43" s="23"/>
      <c r="J43" s="23"/>
      <c r="K43" s="23"/>
      <c r="L43" s="749"/>
      <c r="M43" s="23"/>
      <c r="N43" s="23"/>
      <c r="W43" s="706"/>
      <c r="X43" s="706"/>
      <c r="Y43" s="706"/>
      <c r="Z43" s="706"/>
    </row>
    <row r="44" spans="1:26" ht="119">
      <c r="A44" s="1134" t="s">
        <v>744</v>
      </c>
      <c r="B44" s="1135" t="s">
        <v>745</v>
      </c>
      <c r="C44" s="1135" t="s">
        <v>746</v>
      </c>
      <c r="D44" s="1135" t="s">
        <v>747</v>
      </c>
      <c r="E44" s="1135" t="s">
        <v>748</v>
      </c>
      <c r="F44" s="1135" t="s">
        <v>749</v>
      </c>
      <c r="G44" s="1135" t="s">
        <v>750</v>
      </c>
      <c r="H44" s="1135" t="s">
        <v>751</v>
      </c>
      <c r="I44" s="1135" t="s">
        <v>752</v>
      </c>
      <c r="J44" s="1135" t="s">
        <v>753</v>
      </c>
      <c r="K44" s="1135" t="s">
        <v>754</v>
      </c>
      <c r="L44" s="1136" t="s">
        <v>755</v>
      </c>
      <c r="M44" s="23"/>
      <c r="N44" s="23"/>
      <c r="W44" s="706"/>
      <c r="X44" s="706"/>
      <c r="Y44" s="706"/>
      <c r="Z44" s="706"/>
    </row>
    <row r="45" spans="1:26" ht="16">
      <c r="A45" s="1132" t="s">
        <v>756</v>
      </c>
      <c r="B45" s="1061" t="s">
        <v>396</v>
      </c>
      <c r="C45" s="1061" t="s">
        <v>202</v>
      </c>
      <c r="D45" s="1122">
        <f>'MK Price to Channel'!C36</f>
        <v>0.36</v>
      </c>
      <c r="E45" s="1103">
        <f>$B$43*D45</f>
        <v>25698.267522751408</v>
      </c>
      <c r="F45" s="1510">
        <v>3</v>
      </c>
      <c r="G45" s="1511">
        <v>4</v>
      </c>
      <c r="H45" s="1103">
        <f t="shared" ref="H45:H48" si="21">E45/F45/G45</f>
        <v>2141.5222935626175</v>
      </c>
      <c r="I45" s="1123">
        <f>I54</f>
        <v>1.3016666666666665</v>
      </c>
      <c r="J45" s="1123">
        <f t="shared" ref="J45:J48" si="22">I45*H45</f>
        <v>2787.5481854540067</v>
      </c>
      <c r="K45" s="1123">
        <f t="shared" ref="K45:K48" si="23">J45*G45</f>
        <v>11150.192741816027</v>
      </c>
      <c r="L45" s="1124">
        <f t="shared" ref="L45:L48" si="24">K45*F45</f>
        <v>33450.57822544808</v>
      </c>
      <c r="M45" s="23"/>
      <c r="N45" s="23"/>
      <c r="W45" s="706"/>
      <c r="X45" s="706"/>
      <c r="Y45" s="706"/>
      <c r="Z45" s="706"/>
    </row>
    <row r="46" spans="1:26" ht="85">
      <c r="A46" s="1132" t="s">
        <v>757</v>
      </c>
      <c r="B46" s="1061" t="s">
        <v>396</v>
      </c>
      <c r="C46" s="1106" t="s">
        <v>758</v>
      </c>
      <c r="D46" s="1122">
        <f>'MK Price to Channel'!C35</f>
        <v>0.12</v>
      </c>
      <c r="E46" s="1103">
        <f>$B$43*D46</f>
        <v>8566.08917425047</v>
      </c>
      <c r="F46" s="1510">
        <v>11</v>
      </c>
      <c r="G46" s="1511">
        <v>2</v>
      </c>
      <c r="H46" s="1103">
        <f t="shared" si="21"/>
        <v>389.3676897386577</v>
      </c>
      <c r="I46" s="1123">
        <f>I57</f>
        <v>1.3969999999999998</v>
      </c>
      <c r="J46" s="1123">
        <f t="shared" si="22"/>
        <v>543.94666256490473</v>
      </c>
      <c r="K46" s="1123">
        <f t="shared" si="23"/>
        <v>1087.8933251298095</v>
      </c>
      <c r="L46" s="1124">
        <f t="shared" si="24"/>
        <v>11966.826576427904</v>
      </c>
      <c r="M46" s="23"/>
      <c r="N46" s="23"/>
      <c r="W46" s="706"/>
      <c r="X46" s="706"/>
      <c r="Y46" s="706"/>
      <c r="Z46" s="706"/>
    </row>
    <row r="47" spans="1:26" ht="16">
      <c r="A47" s="1132" t="s">
        <v>763</v>
      </c>
      <c r="B47" s="1061" t="s">
        <v>764</v>
      </c>
      <c r="C47" s="1061" t="s">
        <v>765</v>
      </c>
      <c r="D47" s="1122">
        <f>'MK Price to Channel'!C37</f>
        <v>0.22</v>
      </c>
      <c r="E47" s="1103">
        <f>$B$43*D47</f>
        <v>15704.496819459195</v>
      </c>
      <c r="F47" s="1510">
        <v>4</v>
      </c>
      <c r="G47" s="1511">
        <v>4</v>
      </c>
      <c r="H47" s="1103">
        <f t="shared" si="21"/>
        <v>981.53105121619967</v>
      </c>
      <c r="I47" s="1123">
        <f>I68</f>
        <v>1.4437499999999999</v>
      </c>
      <c r="J47" s="1123">
        <f t="shared" si="22"/>
        <v>1417.085455193388</v>
      </c>
      <c r="K47" s="1123">
        <f t="shared" si="23"/>
        <v>5668.3418207735522</v>
      </c>
      <c r="L47" s="1124">
        <f t="shared" si="24"/>
        <v>22673.367283094209</v>
      </c>
      <c r="M47" s="23"/>
      <c r="N47" s="23"/>
      <c r="W47" s="706"/>
      <c r="X47" s="706"/>
      <c r="Y47" s="706"/>
      <c r="Z47" s="706"/>
    </row>
    <row r="48" spans="1:26" ht="18" thickBot="1">
      <c r="A48" s="1133" t="s">
        <v>767</v>
      </c>
      <c r="B48" s="1108" t="s">
        <v>768</v>
      </c>
      <c r="C48" s="1108" t="s">
        <v>769</v>
      </c>
      <c r="D48" s="1125">
        <f>'MK Price to Channel'!C38</f>
        <v>0.3</v>
      </c>
      <c r="E48" s="1112">
        <f>$B$43*D48</f>
        <v>21415.222935626174</v>
      </c>
      <c r="F48" s="1512">
        <v>4</v>
      </c>
      <c r="G48" s="1513">
        <v>4</v>
      </c>
      <c r="H48" s="1112">
        <f t="shared" si="21"/>
        <v>1338.4514334766359</v>
      </c>
      <c r="I48" s="1126">
        <f>I72</f>
        <v>1.3832499999999999</v>
      </c>
      <c r="J48" s="1126">
        <f t="shared" si="22"/>
        <v>1851.4129453565565</v>
      </c>
      <c r="K48" s="1126">
        <f t="shared" si="23"/>
        <v>7405.6517814262261</v>
      </c>
      <c r="L48" s="1127">
        <f t="shared" si="24"/>
        <v>29622.607125704904</v>
      </c>
      <c r="M48" s="741" t="s">
        <v>760</v>
      </c>
      <c r="N48" s="3"/>
      <c r="W48" s="706"/>
      <c r="X48" s="706"/>
      <c r="Y48" s="706"/>
      <c r="Z48" s="706"/>
    </row>
    <row r="49" spans="1:26" ht="17" thickBot="1">
      <c r="A49" s="756"/>
      <c r="B49" s="757"/>
      <c r="C49" s="757"/>
      <c r="D49" s="757"/>
      <c r="E49" s="757"/>
      <c r="F49" s="757"/>
      <c r="G49" s="757"/>
      <c r="H49" s="758"/>
      <c r="I49" s="759" t="s">
        <v>759</v>
      </c>
      <c r="J49" s="1847">
        <f t="shared" ref="J49:L49" si="25">SUM(J45:J48)</f>
        <v>6599.993248568856</v>
      </c>
      <c r="K49" s="1847">
        <f t="shared" si="25"/>
        <v>25312.079669145613</v>
      </c>
      <c r="L49" s="1848">
        <f t="shared" si="25"/>
        <v>97713.379210675106</v>
      </c>
      <c r="M49" s="114">
        <f>L49/D43</f>
        <v>8.8805673847207837E-3</v>
      </c>
      <c r="W49" s="706"/>
      <c r="X49" s="706"/>
      <c r="Y49" s="706"/>
      <c r="Z49" s="706"/>
    </row>
    <row r="50" spans="1:26" ht="17" thickTop="1">
      <c r="A50" s="23"/>
      <c r="B50" s="23"/>
      <c r="C50" s="23"/>
      <c r="D50" s="23"/>
      <c r="E50" s="23"/>
      <c r="F50" s="23"/>
      <c r="G50" s="23"/>
      <c r="H50" s="23"/>
      <c r="N50" s="23"/>
      <c r="W50" s="706"/>
      <c r="X50" s="706"/>
      <c r="Y50" s="706"/>
      <c r="Z50" s="706"/>
    </row>
    <row r="51" spans="1:26" ht="16">
      <c r="N51" s="23"/>
      <c r="W51" s="706"/>
      <c r="X51" s="706"/>
      <c r="Y51" s="706"/>
      <c r="Z51" s="706"/>
    </row>
    <row r="52" spans="1:26" ht="17" thickBot="1">
      <c r="N52" s="23"/>
      <c r="W52" s="706"/>
      <c r="X52" s="706"/>
      <c r="Y52" s="706"/>
      <c r="Z52" s="706"/>
    </row>
    <row r="53" spans="1:26" ht="87" thickTop="1" thickBot="1">
      <c r="A53" s="1145" t="s">
        <v>771</v>
      </c>
      <c r="B53" s="1146" t="s">
        <v>746</v>
      </c>
      <c r="C53" s="1146" t="s">
        <v>772</v>
      </c>
      <c r="D53" s="1147" t="s">
        <v>773</v>
      </c>
      <c r="E53" s="1148" t="s">
        <v>774</v>
      </c>
      <c r="F53" s="1146" t="s">
        <v>775</v>
      </c>
      <c r="G53" s="1146" t="s">
        <v>776</v>
      </c>
      <c r="H53" s="1148" t="s">
        <v>359</v>
      </c>
      <c r="I53" s="1149" t="s">
        <v>777</v>
      </c>
      <c r="N53" s="23"/>
      <c r="W53" s="706"/>
      <c r="X53" s="706"/>
      <c r="Y53" s="706"/>
      <c r="Z53" s="706"/>
    </row>
    <row r="54" spans="1:26" ht="16">
      <c r="A54" s="1137" t="s">
        <v>778</v>
      </c>
      <c r="B54" s="1138" t="s">
        <v>202</v>
      </c>
      <c r="C54" s="1138" t="s">
        <v>779</v>
      </c>
      <c r="D54" s="1138">
        <v>37010</v>
      </c>
      <c r="E54" s="1139" t="s">
        <v>780</v>
      </c>
      <c r="F54" s="1568">
        <v>11.1</v>
      </c>
      <c r="G54" s="1140">
        <f t="shared" ref="G54:G75" si="26">F54*(1-$H$54)</f>
        <v>1.2209999999999999</v>
      </c>
      <c r="H54" s="1575">
        <v>0.89</v>
      </c>
      <c r="I54" s="1141">
        <f>AVERAGE(G54:G56)</f>
        <v>1.3016666666666665</v>
      </c>
      <c r="N54" s="23"/>
      <c r="W54" s="706"/>
      <c r="X54" s="706"/>
      <c r="Y54" s="706"/>
      <c r="Z54" s="706"/>
    </row>
    <row r="55" spans="1:26" ht="16">
      <c r="A55" s="1137"/>
      <c r="B55" s="1142"/>
      <c r="C55" s="1138" t="s">
        <v>781</v>
      </c>
      <c r="D55" s="1138">
        <v>90011</v>
      </c>
      <c r="E55" s="1139" t="s">
        <v>782</v>
      </c>
      <c r="F55" s="1568">
        <v>13.3</v>
      </c>
      <c r="G55" s="1140">
        <f t="shared" si="26"/>
        <v>1.4629999999999999</v>
      </c>
      <c r="H55" s="1143"/>
      <c r="I55" s="1144"/>
      <c r="N55" s="23"/>
      <c r="W55" s="706"/>
      <c r="X55" s="706"/>
      <c r="Y55" s="706"/>
      <c r="Z55" s="706"/>
    </row>
    <row r="56" spans="1:26" ht="17" thickBot="1">
      <c r="A56" s="1137"/>
      <c r="B56" s="1142"/>
      <c r="C56" s="1138" t="s">
        <v>783</v>
      </c>
      <c r="D56" s="1138">
        <v>40003</v>
      </c>
      <c r="E56" s="1139" t="s">
        <v>780</v>
      </c>
      <c r="F56" s="1568">
        <v>11.1</v>
      </c>
      <c r="G56" s="1140">
        <f t="shared" si="26"/>
        <v>1.2209999999999999</v>
      </c>
      <c r="H56" s="1143"/>
      <c r="I56" s="1144"/>
      <c r="N56" s="23"/>
      <c r="W56" s="706"/>
      <c r="X56" s="706"/>
      <c r="Y56" s="706"/>
      <c r="Z56" s="706"/>
    </row>
    <row r="57" spans="1:26" ht="16">
      <c r="A57" s="760" t="s">
        <v>784</v>
      </c>
      <c r="B57" s="761" t="s">
        <v>785</v>
      </c>
      <c r="C57" s="761" t="s">
        <v>786</v>
      </c>
      <c r="D57" s="761">
        <v>10001</v>
      </c>
      <c r="E57" s="762" t="s">
        <v>780</v>
      </c>
      <c r="F57" s="1569">
        <v>13.3</v>
      </c>
      <c r="G57" s="763">
        <f t="shared" si="26"/>
        <v>1.4629999999999999</v>
      </c>
      <c r="H57" s="764"/>
      <c r="I57" s="765">
        <f>AVERAGE(G57:G67)</f>
        <v>1.3969999999999998</v>
      </c>
      <c r="N57" s="741"/>
      <c r="W57" s="706"/>
      <c r="X57" s="706"/>
      <c r="Y57" s="706"/>
      <c r="Z57" s="706"/>
    </row>
    <row r="58" spans="1:26" ht="16">
      <c r="A58" s="766"/>
      <c r="B58" s="767"/>
      <c r="C58" s="768" t="s">
        <v>786</v>
      </c>
      <c r="D58" s="768">
        <v>10001</v>
      </c>
      <c r="E58" s="769" t="s">
        <v>780</v>
      </c>
      <c r="F58" s="1570">
        <v>13.3</v>
      </c>
      <c r="G58" s="770">
        <f t="shared" si="26"/>
        <v>1.4629999999999999</v>
      </c>
      <c r="H58" s="771"/>
      <c r="I58" s="772"/>
      <c r="N58" s="114"/>
      <c r="W58" s="706"/>
      <c r="X58" s="706"/>
      <c r="Y58" s="706"/>
      <c r="Z58" s="706"/>
    </row>
    <row r="59" spans="1:26" ht="16">
      <c r="A59" s="766"/>
      <c r="B59" s="767"/>
      <c r="C59" s="768" t="s">
        <v>787</v>
      </c>
      <c r="D59" s="768">
        <v>1001</v>
      </c>
      <c r="E59" s="769" t="s">
        <v>780</v>
      </c>
      <c r="F59" s="1570">
        <v>13.3</v>
      </c>
      <c r="G59" s="770">
        <f t="shared" si="26"/>
        <v>1.4629999999999999</v>
      </c>
      <c r="H59" s="771"/>
      <c r="I59" s="772"/>
      <c r="J59" s="3"/>
      <c r="K59" s="3"/>
      <c r="L59" s="3"/>
      <c r="M59" s="3"/>
      <c r="N59" s="3"/>
      <c r="W59" s="706"/>
      <c r="X59" s="706"/>
      <c r="Y59" s="706"/>
      <c r="Z59" s="706"/>
    </row>
    <row r="60" spans="1:26" ht="16">
      <c r="A60" s="766"/>
      <c r="B60" s="767"/>
      <c r="C60" s="768" t="s">
        <v>787</v>
      </c>
      <c r="D60" s="768">
        <v>1001</v>
      </c>
      <c r="E60" s="769" t="s">
        <v>780</v>
      </c>
      <c r="F60" s="1570">
        <v>13.3</v>
      </c>
      <c r="G60" s="770">
        <f t="shared" si="26"/>
        <v>1.4629999999999999</v>
      </c>
      <c r="H60" s="771"/>
      <c r="I60" s="772"/>
      <c r="J60" s="3"/>
      <c r="K60" s="3"/>
      <c r="L60" s="3"/>
      <c r="W60" s="706"/>
      <c r="X60" s="706"/>
      <c r="Y60" s="706"/>
      <c r="Z60" s="706"/>
    </row>
    <row r="61" spans="1:26" ht="16">
      <c r="A61" s="766"/>
      <c r="B61" s="768" t="s">
        <v>788</v>
      </c>
      <c r="C61" s="768" t="s">
        <v>789</v>
      </c>
      <c r="D61" s="768">
        <v>60007</v>
      </c>
      <c r="E61" s="769" t="s">
        <v>780</v>
      </c>
      <c r="F61" s="1570">
        <v>11.1</v>
      </c>
      <c r="G61" s="770">
        <f t="shared" si="26"/>
        <v>1.2209999999999999</v>
      </c>
      <c r="H61" s="771"/>
      <c r="I61" s="772"/>
      <c r="J61" s="3"/>
      <c r="K61" s="3"/>
      <c r="L61" s="3"/>
      <c r="W61" s="706"/>
      <c r="X61" s="706"/>
      <c r="Y61" s="706"/>
      <c r="Z61" s="706"/>
    </row>
    <row r="62" spans="1:26" ht="16">
      <c r="A62" s="766"/>
      <c r="B62" s="767"/>
      <c r="C62" s="768" t="s">
        <v>786</v>
      </c>
      <c r="D62" s="768">
        <v>10001</v>
      </c>
      <c r="E62" s="769" t="s">
        <v>780</v>
      </c>
      <c r="F62" s="1570">
        <v>13.3</v>
      </c>
      <c r="G62" s="770">
        <f t="shared" si="26"/>
        <v>1.4629999999999999</v>
      </c>
      <c r="H62" s="771"/>
      <c r="I62" s="772"/>
      <c r="J62" s="3"/>
      <c r="K62" s="3"/>
      <c r="L62" s="3"/>
      <c r="W62" s="706"/>
      <c r="X62" s="706"/>
      <c r="Y62" s="706"/>
      <c r="Z62" s="706"/>
    </row>
    <row r="63" spans="1:26" ht="16">
      <c r="A63" s="766"/>
      <c r="B63" s="767"/>
      <c r="C63" s="768" t="s">
        <v>781</v>
      </c>
      <c r="D63" s="768">
        <v>90011</v>
      </c>
      <c r="E63" s="769" t="s">
        <v>782</v>
      </c>
      <c r="F63" s="1570">
        <v>13.3</v>
      </c>
      <c r="G63" s="770">
        <f t="shared" si="26"/>
        <v>1.4629999999999999</v>
      </c>
      <c r="H63" s="771"/>
      <c r="I63" s="772"/>
      <c r="J63" s="3"/>
      <c r="K63" s="3"/>
      <c r="L63" s="3"/>
      <c r="U63" s="3"/>
      <c r="V63" s="3"/>
      <c r="W63" s="706"/>
      <c r="X63" s="706"/>
      <c r="Y63" s="706"/>
      <c r="Z63" s="706"/>
    </row>
    <row r="64" spans="1:26" ht="16">
      <c r="A64" s="766"/>
      <c r="B64" s="768" t="s">
        <v>790</v>
      </c>
      <c r="C64" s="768" t="s">
        <v>791</v>
      </c>
      <c r="D64" s="768">
        <v>60007</v>
      </c>
      <c r="E64" s="769" t="s">
        <v>780</v>
      </c>
      <c r="F64" s="1570">
        <v>11.1</v>
      </c>
      <c r="G64" s="770">
        <f t="shared" si="26"/>
        <v>1.2209999999999999</v>
      </c>
      <c r="H64" s="771"/>
      <c r="I64" s="772"/>
      <c r="J64" s="3"/>
      <c r="K64" s="3"/>
      <c r="L64" s="3"/>
      <c r="U64" s="3"/>
      <c r="V64" s="3"/>
      <c r="W64" s="706"/>
      <c r="X64" s="706"/>
      <c r="Y64" s="706"/>
      <c r="Z64" s="706"/>
    </row>
    <row r="65" spans="1:26" ht="16">
      <c r="A65" s="766"/>
      <c r="B65" s="767"/>
      <c r="C65" s="768" t="s">
        <v>792</v>
      </c>
      <c r="D65" s="768">
        <v>80011</v>
      </c>
      <c r="E65" s="769" t="s">
        <v>782</v>
      </c>
      <c r="F65" s="1570">
        <v>11.1</v>
      </c>
      <c r="G65" s="770">
        <f t="shared" si="26"/>
        <v>1.2209999999999999</v>
      </c>
      <c r="H65" s="771"/>
      <c r="I65" s="772"/>
      <c r="J65" s="3"/>
      <c r="K65" s="3"/>
      <c r="L65" s="3"/>
      <c r="U65" s="3"/>
      <c r="V65" s="3"/>
      <c r="W65" s="706"/>
      <c r="X65" s="706"/>
      <c r="Y65" s="706"/>
      <c r="Z65" s="706"/>
    </row>
    <row r="66" spans="1:26" ht="16">
      <c r="A66" s="766"/>
      <c r="B66" s="767"/>
      <c r="C66" s="768" t="s">
        <v>787</v>
      </c>
      <c r="D66" s="768">
        <v>1001</v>
      </c>
      <c r="E66" s="769" t="s">
        <v>780</v>
      </c>
      <c r="F66" s="1570">
        <v>13.3</v>
      </c>
      <c r="G66" s="770">
        <f t="shared" si="26"/>
        <v>1.4629999999999999</v>
      </c>
      <c r="H66" s="771"/>
      <c r="I66" s="772"/>
      <c r="J66" s="3"/>
      <c r="K66" s="3"/>
      <c r="L66" s="3"/>
      <c r="U66" s="3"/>
      <c r="V66" s="3"/>
      <c r="W66" s="706"/>
      <c r="X66" s="706"/>
      <c r="Y66" s="706"/>
      <c r="Z66" s="706"/>
    </row>
    <row r="67" spans="1:26" ht="17" thickBot="1">
      <c r="A67" s="766"/>
      <c r="B67" s="768" t="s">
        <v>793</v>
      </c>
      <c r="C67" s="768" t="s">
        <v>794</v>
      </c>
      <c r="D67" s="768">
        <v>33101</v>
      </c>
      <c r="E67" s="769" t="s">
        <v>780</v>
      </c>
      <c r="F67" s="1570">
        <v>13.3</v>
      </c>
      <c r="G67" s="770">
        <f t="shared" si="26"/>
        <v>1.4629999999999999</v>
      </c>
      <c r="H67" s="771"/>
      <c r="I67" s="772"/>
      <c r="J67" s="3"/>
      <c r="K67" s="3"/>
      <c r="L67" s="3"/>
      <c r="U67" s="3"/>
      <c r="V67" s="3"/>
      <c r="W67" s="706"/>
      <c r="X67" s="706"/>
      <c r="Y67" s="706"/>
      <c r="Z67" s="706"/>
    </row>
    <row r="68" spans="1:26" ht="16">
      <c r="A68" s="1150" t="s">
        <v>763</v>
      </c>
      <c r="B68" s="1151" t="s">
        <v>765</v>
      </c>
      <c r="C68" s="1151" t="s">
        <v>795</v>
      </c>
      <c r="D68" s="1151">
        <v>15014</v>
      </c>
      <c r="E68" s="1152" t="s">
        <v>780</v>
      </c>
      <c r="F68" s="1571">
        <f>12.6</f>
        <v>12.6</v>
      </c>
      <c r="G68" s="1153">
        <f t="shared" si="26"/>
        <v>1.3859999999999999</v>
      </c>
      <c r="H68" s="1154"/>
      <c r="I68" s="1155">
        <f>AVERAGE(G68:G71)</f>
        <v>1.4437499999999999</v>
      </c>
      <c r="J68" s="3"/>
      <c r="K68" s="3"/>
      <c r="L68" s="3"/>
      <c r="U68" s="3"/>
      <c r="V68" s="3"/>
      <c r="W68" s="706"/>
      <c r="X68" s="706"/>
      <c r="Y68" s="706"/>
      <c r="Z68" s="706"/>
    </row>
    <row r="69" spans="1:26" ht="16">
      <c r="A69" s="1137"/>
      <c r="B69" s="1142"/>
      <c r="C69" s="1138" t="s">
        <v>796</v>
      </c>
      <c r="D69" s="1138">
        <v>5001</v>
      </c>
      <c r="E69" s="1139" t="s">
        <v>780</v>
      </c>
      <c r="F69" s="1568">
        <v>13.3</v>
      </c>
      <c r="G69" s="1140">
        <f t="shared" si="26"/>
        <v>1.4629999999999999</v>
      </c>
      <c r="H69" s="1156"/>
      <c r="I69" s="1157"/>
      <c r="J69" s="3"/>
      <c r="K69" s="3"/>
      <c r="L69" s="3"/>
      <c r="U69" s="3"/>
      <c r="V69" s="3"/>
      <c r="W69" s="706"/>
      <c r="X69" s="706"/>
      <c r="Y69" s="706"/>
      <c r="Z69" s="706"/>
    </row>
    <row r="70" spans="1:26" ht="16">
      <c r="A70" s="1137"/>
      <c r="B70" s="1142"/>
      <c r="C70" s="1138" t="s">
        <v>786</v>
      </c>
      <c r="D70" s="1138">
        <v>10001</v>
      </c>
      <c r="E70" s="1139" t="s">
        <v>780</v>
      </c>
      <c r="F70" s="1572">
        <v>13.3</v>
      </c>
      <c r="G70" s="1140">
        <f t="shared" si="26"/>
        <v>1.4629999999999999</v>
      </c>
      <c r="H70" s="1158"/>
      <c r="I70" s="1157"/>
      <c r="J70" s="3"/>
      <c r="K70" s="3"/>
      <c r="L70" s="3"/>
      <c r="U70" s="3"/>
      <c r="V70" s="3"/>
      <c r="W70" s="706"/>
      <c r="X70" s="706"/>
      <c r="Y70" s="706"/>
      <c r="Z70" s="706"/>
    </row>
    <row r="71" spans="1:26" ht="17" thickBot="1">
      <c r="A71" s="1137"/>
      <c r="B71" s="1142"/>
      <c r="C71" s="1138" t="s">
        <v>797</v>
      </c>
      <c r="D71" s="1138">
        <v>6001</v>
      </c>
      <c r="E71" s="1139" t="s">
        <v>780</v>
      </c>
      <c r="F71" s="1568">
        <v>13.3</v>
      </c>
      <c r="G71" s="1140">
        <f t="shared" si="26"/>
        <v>1.4629999999999999</v>
      </c>
      <c r="H71" s="1159"/>
      <c r="I71" s="1157"/>
      <c r="J71" s="3"/>
      <c r="K71" s="3"/>
      <c r="L71" s="3"/>
      <c r="R71" s="3"/>
      <c r="S71" s="3"/>
      <c r="T71" s="3"/>
      <c r="U71" s="3"/>
      <c r="V71" s="3"/>
      <c r="W71" s="706"/>
      <c r="X71" s="706"/>
      <c r="Y71" s="706"/>
      <c r="Z71" s="706"/>
    </row>
    <row r="72" spans="1:26" ht="16">
      <c r="A72" s="773" t="s">
        <v>767</v>
      </c>
      <c r="B72" s="774" t="s">
        <v>769</v>
      </c>
      <c r="C72" s="774" t="s">
        <v>798</v>
      </c>
      <c r="D72" s="774">
        <v>75006</v>
      </c>
      <c r="E72" s="775" t="s">
        <v>782</v>
      </c>
      <c r="F72" s="1573">
        <f>11.1</f>
        <v>11.1</v>
      </c>
      <c r="G72" s="776">
        <f t="shared" si="26"/>
        <v>1.2209999999999999</v>
      </c>
      <c r="H72" s="777"/>
      <c r="I72" s="778">
        <f>AVERAGE(G72:G75)</f>
        <v>1.3832499999999999</v>
      </c>
      <c r="J72" s="3"/>
      <c r="K72" s="3"/>
      <c r="L72" s="3"/>
      <c r="R72" s="3"/>
      <c r="S72" s="3"/>
      <c r="T72" s="3"/>
      <c r="U72" s="3"/>
      <c r="V72" s="3"/>
      <c r="W72" s="706"/>
      <c r="X72" s="706"/>
      <c r="Y72" s="706"/>
      <c r="Z72" s="706"/>
    </row>
    <row r="73" spans="1:26" ht="16">
      <c r="A73" s="779"/>
      <c r="B73" s="780"/>
      <c r="C73" s="781" t="s">
        <v>781</v>
      </c>
      <c r="D73" s="781">
        <v>90011</v>
      </c>
      <c r="E73" s="782" t="s">
        <v>782</v>
      </c>
      <c r="F73" s="1574">
        <f t="shared" ref="F73:F74" si="27">13.3</f>
        <v>13.3</v>
      </c>
      <c r="G73" s="783">
        <f t="shared" si="26"/>
        <v>1.4629999999999999</v>
      </c>
      <c r="H73" s="784"/>
      <c r="I73" s="785"/>
      <c r="J73" s="3"/>
      <c r="K73" s="3"/>
      <c r="L73" s="3"/>
      <c r="Q73" s="3"/>
      <c r="R73" s="3"/>
      <c r="S73" s="3"/>
      <c r="T73" s="3"/>
      <c r="U73" s="3"/>
      <c r="V73" s="3"/>
      <c r="W73" s="706"/>
      <c r="X73" s="706"/>
      <c r="Y73" s="706"/>
      <c r="Z73" s="706"/>
    </row>
    <row r="74" spans="1:26" ht="16">
      <c r="A74" s="779"/>
      <c r="B74" s="780"/>
      <c r="C74" s="781" t="s">
        <v>786</v>
      </c>
      <c r="D74" s="781">
        <v>10001</v>
      </c>
      <c r="E74" s="782" t="s">
        <v>780</v>
      </c>
      <c r="F74" s="1574">
        <f t="shared" si="27"/>
        <v>13.3</v>
      </c>
      <c r="G74" s="783">
        <f t="shared" si="26"/>
        <v>1.4629999999999999</v>
      </c>
      <c r="H74" s="784"/>
      <c r="I74" s="785"/>
      <c r="J74" s="3"/>
      <c r="K74" s="3"/>
      <c r="L74" s="3"/>
      <c r="Q74" s="3"/>
      <c r="R74" s="3"/>
      <c r="S74" s="3"/>
      <c r="T74" s="3"/>
      <c r="U74" s="3"/>
      <c r="V74" s="3"/>
      <c r="W74" s="706"/>
      <c r="X74" s="706"/>
      <c r="Y74" s="706"/>
      <c r="Z74" s="706"/>
    </row>
    <row r="75" spans="1:26" ht="17" thickBot="1">
      <c r="A75" s="779"/>
      <c r="B75" s="780"/>
      <c r="C75" s="781" t="s">
        <v>799</v>
      </c>
      <c r="D75" s="781">
        <v>43001</v>
      </c>
      <c r="E75" s="782" t="s">
        <v>780</v>
      </c>
      <c r="F75" s="1574">
        <f>12.6</f>
        <v>12.6</v>
      </c>
      <c r="G75" s="783">
        <f t="shared" si="26"/>
        <v>1.3859999999999999</v>
      </c>
      <c r="H75" s="784"/>
      <c r="I75" s="785"/>
      <c r="J75" s="3"/>
      <c r="K75" s="3"/>
      <c r="L75" s="3"/>
      <c r="P75" s="3"/>
      <c r="Q75" s="3"/>
      <c r="R75" s="3"/>
      <c r="S75" s="3"/>
      <c r="T75" s="3"/>
      <c r="U75" s="3"/>
      <c r="V75" s="3"/>
      <c r="W75" s="706"/>
      <c r="X75" s="706"/>
      <c r="Y75" s="706"/>
      <c r="Z75" s="706"/>
    </row>
    <row r="76" spans="1:26" ht="17" thickBot="1">
      <c r="A76" s="786" t="s">
        <v>800</v>
      </c>
      <c r="B76" s="787" t="s">
        <v>801</v>
      </c>
      <c r="C76" s="788"/>
      <c r="D76" s="788"/>
      <c r="E76" s="788"/>
      <c r="F76" s="788"/>
      <c r="G76" s="788"/>
      <c r="H76" s="788"/>
      <c r="I76" s="789"/>
      <c r="J76" s="3"/>
      <c r="K76" s="3"/>
      <c r="L76" s="3"/>
      <c r="P76" s="3"/>
      <c r="Q76" s="3"/>
      <c r="R76" s="3"/>
      <c r="S76" s="3"/>
      <c r="T76" s="3"/>
      <c r="U76" s="3"/>
      <c r="V76" s="3"/>
      <c r="W76" s="706"/>
      <c r="X76" s="706"/>
      <c r="Y76" s="706"/>
      <c r="Z76" s="706"/>
    </row>
    <row r="77" spans="1:26" ht="17" thickTop="1">
      <c r="A77" s="3"/>
      <c r="B77" s="3"/>
      <c r="C77" s="3"/>
      <c r="D77" s="3"/>
      <c r="E77" s="3"/>
      <c r="F77" s="3"/>
      <c r="G77" s="3"/>
      <c r="H77" s="3"/>
      <c r="I77" s="3"/>
      <c r="J77" s="3"/>
      <c r="K77" s="3"/>
      <c r="L77" s="3"/>
      <c r="O77" s="3"/>
      <c r="P77" s="3"/>
      <c r="Q77" s="3"/>
      <c r="R77" s="3"/>
      <c r="S77" s="3"/>
      <c r="T77" s="3"/>
      <c r="U77" s="3"/>
      <c r="V77" s="3"/>
      <c r="W77" s="706"/>
      <c r="X77" s="706"/>
      <c r="Y77" s="706"/>
      <c r="Z77" s="706"/>
    </row>
    <row r="78" spans="1:26" ht="17" thickBot="1">
      <c r="H78" s="3"/>
      <c r="J78" s="3"/>
      <c r="K78" s="3"/>
      <c r="L78" s="3"/>
      <c r="O78" s="3"/>
      <c r="P78" s="3"/>
      <c r="Q78" s="3"/>
      <c r="R78" s="3"/>
      <c r="S78" s="3"/>
      <c r="T78" s="3"/>
      <c r="U78" s="3"/>
      <c r="V78" s="3"/>
      <c r="W78" s="706"/>
      <c r="X78" s="706"/>
      <c r="Y78" s="706"/>
      <c r="Z78" s="706"/>
    </row>
    <row r="79" spans="1:26" ht="18" thickTop="1" thickBot="1">
      <c r="A79" s="1160" t="s">
        <v>802</v>
      </c>
      <c r="B79" s="790" t="s">
        <v>803</v>
      </c>
      <c r="C79" s="791"/>
      <c r="D79" s="790" t="s">
        <v>804</v>
      </c>
      <c r="E79" s="790" t="s">
        <v>805</v>
      </c>
      <c r="F79" s="790" t="s">
        <v>806</v>
      </c>
      <c r="G79" s="792" t="s">
        <v>807</v>
      </c>
      <c r="H79" s="3"/>
      <c r="J79" s="3"/>
      <c r="K79" s="3"/>
      <c r="L79" s="3"/>
      <c r="O79" s="3"/>
      <c r="P79" s="3"/>
      <c r="Q79" s="3"/>
      <c r="R79" s="3"/>
      <c r="S79" s="3"/>
      <c r="T79" s="3"/>
      <c r="U79" s="3"/>
      <c r="V79" s="3"/>
    </row>
    <row r="80" spans="1:26" ht="17" thickBot="1">
      <c r="A80" s="1161" t="s">
        <v>756</v>
      </c>
      <c r="B80" s="1162" t="s">
        <v>808</v>
      </c>
      <c r="C80" s="1162" t="s">
        <v>85</v>
      </c>
      <c r="D80" s="1162" t="s">
        <v>86</v>
      </c>
      <c r="E80" s="1162" t="s">
        <v>87</v>
      </c>
      <c r="F80" s="1162" t="s">
        <v>88</v>
      </c>
      <c r="G80" s="1163" t="s">
        <v>89</v>
      </c>
      <c r="H80" s="3"/>
      <c r="J80" s="3"/>
      <c r="K80" s="3"/>
      <c r="L80" s="3"/>
      <c r="M80" s="3"/>
      <c r="N80" s="3"/>
      <c r="O80" s="3"/>
      <c r="P80" s="3"/>
      <c r="Q80" s="3"/>
      <c r="R80" s="3"/>
      <c r="S80" s="3"/>
      <c r="T80" s="3"/>
      <c r="U80" s="3"/>
      <c r="V80" s="3"/>
    </row>
    <row r="81" spans="1:22" ht="16">
      <c r="A81" s="699" t="s">
        <v>809</v>
      </c>
      <c r="B81" s="1516">
        <v>3</v>
      </c>
      <c r="C81" s="793">
        <f>H6*B81</f>
        <v>2749.6055315972094</v>
      </c>
      <c r="D81" s="793">
        <f>B81*H15</f>
        <v>3246.6098694720222</v>
      </c>
      <c r="E81" s="793">
        <f>B81*H24</f>
        <v>6006.7381515306515</v>
      </c>
      <c r="F81" s="793">
        <f>B81*H34</f>
        <v>6159.6115824708777</v>
      </c>
      <c r="G81" s="794">
        <f>B81*H45</f>
        <v>6424.566880687853</v>
      </c>
      <c r="H81" s="3"/>
      <c r="J81" s="3"/>
      <c r="K81" s="3"/>
      <c r="L81" s="3"/>
      <c r="M81" s="3"/>
      <c r="N81" s="3"/>
      <c r="O81" s="3"/>
      <c r="P81" s="3"/>
      <c r="Q81" s="3"/>
      <c r="R81" s="3"/>
      <c r="S81" s="3"/>
      <c r="T81" s="3"/>
      <c r="U81" s="3"/>
      <c r="V81" s="3"/>
    </row>
    <row r="82" spans="1:22" ht="17">
      <c r="A82" s="698" t="s">
        <v>810</v>
      </c>
      <c r="B82" s="1516">
        <v>0.10100000000000001</v>
      </c>
      <c r="C82" s="793">
        <f>H6*B82</f>
        <v>92.570052897106066</v>
      </c>
      <c r="D82" s="793">
        <f>B82*H15</f>
        <v>109.30253227222477</v>
      </c>
      <c r="E82" s="793">
        <f>B82*H24</f>
        <v>202.22685110153193</v>
      </c>
      <c r="F82" s="793">
        <f>B82*H34</f>
        <v>207.3735899431862</v>
      </c>
      <c r="G82" s="794">
        <f>B82*H45</f>
        <v>216.29375164982437</v>
      </c>
      <c r="H82" s="3"/>
      <c r="J82" s="3"/>
      <c r="K82" s="3"/>
      <c r="L82" s="3"/>
      <c r="M82" s="3"/>
      <c r="N82" s="3"/>
      <c r="O82" s="3"/>
      <c r="P82" s="3"/>
      <c r="Q82" s="3"/>
      <c r="R82" s="3"/>
      <c r="S82" s="3"/>
      <c r="T82" s="3"/>
      <c r="U82" s="3"/>
      <c r="V82" s="3"/>
    </row>
    <row r="83" spans="1:22" ht="17" thickBot="1">
      <c r="A83" s="795"/>
      <c r="B83" s="796"/>
      <c r="C83" s="796"/>
      <c r="D83" s="796"/>
      <c r="E83" s="796"/>
      <c r="F83" s="796"/>
      <c r="G83" s="255"/>
      <c r="H83" s="3"/>
      <c r="J83" s="3"/>
      <c r="K83" s="3"/>
      <c r="L83" s="3"/>
      <c r="M83" s="3"/>
      <c r="N83" s="3"/>
      <c r="O83" s="3"/>
      <c r="P83" s="3"/>
      <c r="Q83" s="3"/>
      <c r="R83" s="3"/>
      <c r="S83" s="3"/>
      <c r="T83" s="3"/>
      <c r="U83" s="3"/>
      <c r="V83" s="3"/>
    </row>
    <row r="84" spans="1:22" ht="17" thickBot="1">
      <c r="A84" s="1164" t="s">
        <v>757</v>
      </c>
      <c r="B84" s="729"/>
      <c r="C84" s="797"/>
      <c r="D84" s="797"/>
      <c r="E84" s="797"/>
      <c r="F84" s="797"/>
      <c r="G84" s="798"/>
      <c r="H84" s="3"/>
      <c r="K84" s="3"/>
      <c r="L84" s="3"/>
      <c r="M84" s="3"/>
      <c r="N84" s="3"/>
      <c r="O84" s="3"/>
      <c r="P84" s="3"/>
      <c r="Q84" s="3"/>
      <c r="R84" s="3"/>
      <c r="S84" s="3"/>
      <c r="T84" s="3"/>
      <c r="U84" s="3"/>
      <c r="V84" s="3"/>
    </row>
    <row r="85" spans="1:22" ht="16">
      <c r="A85" s="699" t="s">
        <v>809</v>
      </c>
      <c r="B85" s="796">
        <f t="shared" ref="B85:B86" si="28">B81</f>
        <v>3</v>
      </c>
      <c r="C85" s="799">
        <f>B85*H7</f>
        <v>244.15101971899111</v>
      </c>
      <c r="D85" s="799">
        <f>B85*H16</f>
        <v>723.31641138045052</v>
      </c>
      <c r="E85" s="799">
        <f>B85*H25</f>
        <v>1641.2071880245551</v>
      </c>
      <c r="F85" s="799">
        <f>B85*H35</f>
        <v>1399.9117232888357</v>
      </c>
      <c r="G85" s="800">
        <f>B85*H46</f>
        <v>1168.1030692159732</v>
      </c>
      <c r="H85" s="3"/>
      <c r="K85" s="3"/>
      <c r="L85" s="3"/>
      <c r="M85" s="3"/>
      <c r="N85" s="3"/>
      <c r="O85" s="3"/>
      <c r="P85" s="3"/>
      <c r="Q85" s="3"/>
      <c r="R85" s="3"/>
      <c r="S85" s="3"/>
      <c r="T85" s="3"/>
      <c r="U85" s="3"/>
      <c r="V85" s="3"/>
    </row>
    <row r="86" spans="1:22" ht="17">
      <c r="A86" s="698" t="s">
        <v>810</v>
      </c>
      <c r="B86" s="796">
        <f t="shared" si="28"/>
        <v>0.10100000000000001</v>
      </c>
      <c r="C86" s="799">
        <f>B86*H7</f>
        <v>8.2197509972060345</v>
      </c>
      <c r="D86" s="799">
        <f>B86*H16</f>
        <v>24.35165251647517</v>
      </c>
      <c r="E86" s="799">
        <f>B86*H25</f>
        <v>55.253975330160024</v>
      </c>
      <c r="F86" s="799">
        <f>B86*H35</f>
        <v>47.130361350724137</v>
      </c>
      <c r="G86" s="800">
        <f>B86*H46</f>
        <v>39.32613666360443</v>
      </c>
      <c r="H86" s="3"/>
      <c r="K86" s="3"/>
      <c r="L86" s="3"/>
      <c r="M86" s="3"/>
      <c r="N86" s="3"/>
      <c r="O86" s="3"/>
      <c r="P86" s="3"/>
      <c r="Q86" s="3"/>
      <c r="R86" s="3"/>
      <c r="S86" s="3"/>
      <c r="T86" s="3"/>
      <c r="U86" s="3"/>
      <c r="V86" s="3"/>
    </row>
    <row r="87" spans="1:22" ht="17" thickBot="1">
      <c r="A87" s="795"/>
      <c r="B87" s="796"/>
      <c r="C87" s="796"/>
      <c r="D87" s="796"/>
      <c r="E87" s="796"/>
      <c r="F87" s="796"/>
      <c r="G87" s="255"/>
      <c r="H87" s="3"/>
      <c r="K87" s="3"/>
      <c r="L87" s="3"/>
      <c r="M87" s="3"/>
      <c r="N87" s="3"/>
      <c r="O87" s="3"/>
      <c r="P87" s="3"/>
      <c r="Q87" s="3"/>
    </row>
    <row r="88" spans="1:22" ht="15.75" customHeight="1" thickBot="1">
      <c r="A88" s="1165" t="s">
        <v>763</v>
      </c>
      <c r="B88" s="797"/>
      <c r="C88" s="797"/>
      <c r="D88" s="797"/>
      <c r="E88" s="797"/>
      <c r="F88" s="797"/>
      <c r="G88" s="801"/>
      <c r="H88" s="3"/>
      <c r="K88" s="3"/>
      <c r="L88" s="3"/>
      <c r="M88" s="3"/>
      <c r="N88" s="3"/>
      <c r="O88" s="3"/>
      <c r="P88" s="3"/>
      <c r="Q88" s="3"/>
    </row>
    <row r="89" spans="1:22" ht="15.75" customHeight="1">
      <c r="A89" s="699" t="s">
        <v>809</v>
      </c>
      <c r="B89" s="796">
        <f t="shared" ref="B89:B90" si="29">B85</f>
        <v>3</v>
      </c>
      <c r="C89" s="796"/>
      <c r="D89" s="796"/>
      <c r="E89" s="793">
        <f>B89*H26</f>
        <v>1504.4399223558421</v>
      </c>
      <c r="F89" s="793">
        <f>B89*H36</f>
        <v>1924.8786195221492</v>
      </c>
      <c r="G89" s="794">
        <f>B89*H47</f>
        <v>2944.5931536485991</v>
      </c>
      <c r="H89" s="3"/>
      <c r="K89" s="3"/>
      <c r="L89" s="3"/>
      <c r="M89" s="3"/>
      <c r="N89" s="3"/>
      <c r="O89" s="3"/>
      <c r="P89" s="3"/>
    </row>
    <row r="90" spans="1:22" ht="15.75" customHeight="1">
      <c r="A90" s="698" t="s">
        <v>810</v>
      </c>
      <c r="B90" s="796">
        <f t="shared" si="29"/>
        <v>0.10100000000000001</v>
      </c>
      <c r="C90" s="796"/>
      <c r="D90" s="796"/>
      <c r="E90" s="793">
        <f>B90*H26</f>
        <v>50.649477385980013</v>
      </c>
      <c r="F90" s="793">
        <f>B90*H36</f>
        <v>64.804246857245687</v>
      </c>
      <c r="G90" s="794">
        <f>B90*H47</f>
        <v>99.134636172836167</v>
      </c>
      <c r="H90" s="3"/>
      <c r="K90" s="3"/>
      <c r="L90" s="3"/>
      <c r="M90" s="3"/>
      <c r="N90" s="3"/>
      <c r="O90" s="3"/>
      <c r="P90" s="3"/>
    </row>
    <row r="91" spans="1:22" ht="15.75" customHeight="1" thickBot="1">
      <c r="A91" s="795"/>
      <c r="B91" s="796"/>
      <c r="C91" s="796"/>
      <c r="D91" s="796"/>
      <c r="E91" s="796"/>
      <c r="F91" s="796"/>
      <c r="G91" s="255"/>
      <c r="H91" s="3"/>
      <c r="K91" s="3"/>
      <c r="L91" s="3"/>
      <c r="M91" s="3"/>
      <c r="N91" s="3"/>
      <c r="O91" s="3"/>
    </row>
    <row r="92" spans="1:22" ht="15.75" customHeight="1" thickBot="1">
      <c r="A92" s="1165" t="s">
        <v>811</v>
      </c>
      <c r="B92" s="797"/>
      <c r="C92" s="797"/>
      <c r="D92" s="797"/>
      <c r="E92" s="797"/>
      <c r="F92" s="797"/>
      <c r="G92" s="801"/>
      <c r="H92" s="3"/>
      <c r="K92" s="3"/>
      <c r="L92" s="3"/>
      <c r="M92" s="3"/>
      <c r="N92" s="3"/>
      <c r="O92" s="3"/>
    </row>
    <row r="93" spans="1:22" ht="16">
      <c r="A93" s="699" t="s">
        <v>809</v>
      </c>
      <c r="B93" s="796">
        <f t="shared" ref="B93:B94" si="30">B89</f>
        <v>3</v>
      </c>
      <c r="C93" s="796"/>
      <c r="D93" s="796"/>
      <c r="E93" s="796"/>
      <c r="F93" s="799">
        <f>B93*H37</f>
        <v>1924.8786195221492</v>
      </c>
      <c r="G93" s="800">
        <f>B93*H48</f>
        <v>4015.3543004299077</v>
      </c>
      <c r="H93" s="3"/>
      <c r="K93" s="3"/>
      <c r="L93" s="3"/>
      <c r="M93" s="3"/>
      <c r="N93" s="3"/>
    </row>
    <row r="94" spans="1:22" ht="18" thickBot="1">
      <c r="A94" s="802" t="s">
        <v>810</v>
      </c>
      <c r="B94" s="803">
        <f t="shared" si="30"/>
        <v>0.10100000000000001</v>
      </c>
      <c r="C94" s="803"/>
      <c r="D94" s="803"/>
      <c r="E94" s="803"/>
      <c r="F94" s="804">
        <f>B94*H37</f>
        <v>64.804246857245687</v>
      </c>
      <c r="G94" s="480">
        <f>B94*H48</f>
        <v>135.18359478114024</v>
      </c>
      <c r="H94" s="3"/>
      <c r="K94" s="3"/>
      <c r="L94" s="3"/>
      <c r="M94" s="3"/>
      <c r="N94" s="3"/>
    </row>
    <row r="95" spans="1:22" ht="15.75" customHeight="1" thickTop="1">
      <c r="K95" s="3"/>
      <c r="L95" s="3"/>
      <c r="M95" s="3"/>
      <c r="N95" s="3"/>
    </row>
    <row r="98" spans="1:8" ht="15.75" customHeight="1">
      <c r="A98" s="3"/>
      <c r="B98" s="3"/>
      <c r="C98" s="3"/>
      <c r="D98" s="3"/>
      <c r="E98" s="3"/>
      <c r="F98" s="3"/>
      <c r="G98" s="3"/>
      <c r="H98" s="3"/>
    </row>
  </sheetData>
  <hyperlinks>
    <hyperlink ref="B76" r:id="rId1" xr:uid="{00000000-0004-0000-2400-000001000000}"/>
    <hyperlink ref="A1" location="Index!A1" display="Index" xr:uid="{6F46784A-7C3F-DE47-87FB-C0F79044E07D}"/>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C32F7-F812-D148-9CBF-CE1E3512618B}">
  <sheetPr>
    <tabColor theme="8"/>
  </sheetPr>
  <dimension ref="A1:H61"/>
  <sheetViews>
    <sheetView workbookViewId="0"/>
  </sheetViews>
  <sheetFormatPr baseColWidth="10" defaultColWidth="10.83203125" defaultRowHeight="13"/>
  <cols>
    <col min="1" max="1" width="22.5" style="1588" bestFit="1" customWidth="1"/>
    <col min="2" max="2" width="18.5" style="1588" bestFit="1" customWidth="1"/>
    <col min="3" max="3" width="16.5" style="1588" customWidth="1"/>
    <col min="4" max="4" width="24.5" style="1588" customWidth="1"/>
    <col min="5" max="5" width="27.1640625" style="1588" customWidth="1"/>
    <col min="6" max="6" width="19.33203125" style="1588" bestFit="1" customWidth="1"/>
    <col min="7" max="7" width="18.83203125" style="1588" customWidth="1"/>
    <col min="8" max="8" width="12.33203125" style="1588" bestFit="1" customWidth="1"/>
    <col min="9" max="16384" width="10.83203125" style="1588"/>
  </cols>
  <sheetData>
    <row r="1" spans="1:7" ht="26" thickBot="1">
      <c r="A1" s="1713" t="s">
        <v>0</v>
      </c>
    </row>
    <row r="2" spans="1:7" ht="21" thickBot="1">
      <c r="A2" s="2083" t="s">
        <v>1117</v>
      </c>
      <c r="B2" s="2084"/>
      <c r="C2" s="2084"/>
      <c r="D2" s="2084"/>
      <c r="E2" s="2084"/>
      <c r="F2" s="2084"/>
      <c r="G2" s="2085"/>
    </row>
    <row r="3" spans="1:7" ht="17" thickBot="1">
      <c r="A3" s="1741"/>
      <c r="B3" s="1742"/>
      <c r="C3" s="1770" t="s">
        <v>1139</v>
      </c>
      <c r="D3" s="1771" t="s">
        <v>1116</v>
      </c>
      <c r="E3" s="1770" t="s">
        <v>1115</v>
      </c>
      <c r="F3" s="1771" t="s">
        <v>1114</v>
      </c>
      <c r="G3" s="1770" t="s">
        <v>1113</v>
      </c>
    </row>
    <row r="4" spans="1:7" ht="16">
      <c r="A4" s="1772" t="s">
        <v>756</v>
      </c>
      <c r="B4" s="1730" t="s">
        <v>202</v>
      </c>
      <c r="C4" s="1728" t="s">
        <v>779</v>
      </c>
      <c r="D4" s="1729">
        <v>40.741895</v>
      </c>
      <c r="E4" s="1728">
        <v>-73.989307999999994</v>
      </c>
      <c r="F4" s="1727">
        <f>'OM Outbound Logistics'!E6+'OM Outbound Logistics'!E15+'OM Outbound Logistics'!E24+'OM Outbound Logistics'!E34+'OM Outbound Logistics'!E45</f>
        <v>98348.528063034464</v>
      </c>
      <c r="G4" s="1726">
        <f>$F$4/3</f>
        <v>32782.842687678152</v>
      </c>
    </row>
    <row r="5" spans="1:7" ht="16">
      <c r="A5" s="1724"/>
      <c r="B5" s="1725"/>
      <c r="C5" s="1723" t="s">
        <v>781</v>
      </c>
      <c r="D5" s="1724">
        <v>35.448650000000001</v>
      </c>
      <c r="E5" s="1723">
        <v>-119.096146</v>
      </c>
      <c r="F5" s="1724"/>
      <c r="G5" s="1721">
        <f>$F$4/3</f>
        <v>32782.842687678152</v>
      </c>
    </row>
    <row r="6" spans="1:7" ht="16">
      <c r="A6" s="1724"/>
      <c r="B6" s="1725"/>
      <c r="C6" s="1723" t="s">
        <v>783</v>
      </c>
      <c r="D6" s="1724">
        <v>39.057206999999998</v>
      </c>
      <c r="E6" s="1723">
        <v>-84.638504999999995</v>
      </c>
      <c r="F6" s="1724"/>
      <c r="G6" s="1721">
        <f>$F$4/3</f>
        <v>32782.842687678152</v>
      </c>
    </row>
    <row r="7" spans="1:7" ht="16">
      <c r="A7" s="1773" t="s">
        <v>784</v>
      </c>
      <c r="B7" s="1725" t="s">
        <v>1112</v>
      </c>
      <c r="C7" s="1723" t="s">
        <v>786</v>
      </c>
      <c r="D7" s="1724">
        <v>40.709650000000003</v>
      </c>
      <c r="E7" s="1723">
        <v>-74.009303000000003</v>
      </c>
      <c r="F7" s="1722">
        <f>'OM Outbound Logistics'!E7+'OM Outbound Logistics'!E16+'OM Outbound Logistics'!E25+'OM Outbound Logistics'!E35+'OM Outbound Logistics'!E46</f>
        <v>37962.38901861124</v>
      </c>
      <c r="G7" s="1721">
        <f t="shared" ref="G7:G15" si="0">$F$7/9</f>
        <v>4218.0432242901379</v>
      </c>
    </row>
    <row r="8" spans="1:7" ht="16">
      <c r="A8" s="1724"/>
      <c r="B8" s="1725"/>
      <c r="C8" s="1723" t="s">
        <v>786</v>
      </c>
      <c r="D8" s="1724">
        <v>40.686233999999999</v>
      </c>
      <c r="E8" s="1723">
        <v>-73.983046999999999</v>
      </c>
      <c r="F8" s="1724"/>
      <c r="G8" s="1721">
        <f t="shared" si="0"/>
        <v>4218.0432242901379</v>
      </c>
    </row>
    <row r="9" spans="1:7" ht="16">
      <c r="A9" s="1724"/>
      <c r="B9" s="1725"/>
      <c r="C9" s="1723" t="s">
        <v>1111</v>
      </c>
      <c r="D9" s="1724">
        <v>42.725318999999999</v>
      </c>
      <c r="E9" s="1723">
        <v>-71.112015</v>
      </c>
      <c r="F9" s="1724"/>
      <c r="G9" s="1721">
        <f t="shared" si="0"/>
        <v>4218.0432242901379</v>
      </c>
    </row>
    <row r="10" spans="1:7" ht="16">
      <c r="A10" s="1724"/>
      <c r="B10" s="1725" t="s">
        <v>788</v>
      </c>
      <c r="C10" s="1723" t="s">
        <v>789</v>
      </c>
      <c r="D10" s="1724">
        <v>40.054403000000001</v>
      </c>
      <c r="E10" s="1723">
        <v>-88.250410000000002</v>
      </c>
      <c r="F10" s="1724"/>
      <c r="G10" s="1721">
        <f t="shared" si="0"/>
        <v>4218.0432242901379</v>
      </c>
    </row>
    <row r="11" spans="1:7" ht="16">
      <c r="A11" s="1724"/>
      <c r="B11" s="1725"/>
      <c r="C11" s="1723" t="s">
        <v>786</v>
      </c>
      <c r="D11" s="1724">
        <v>41.076256000000001</v>
      </c>
      <c r="E11" s="1723">
        <v>-73.858301999999995</v>
      </c>
      <c r="F11" s="1724"/>
      <c r="G11" s="1721">
        <f t="shared" si="0"/>
        <v>4218.0432242901379</v>
      </c>
    </row>
    <row r="12" spans="1:7" ht="16">
      <c r="A12" s="1724"/>
      <c r="B12" s="1725"/>
      <c r="C12" s="1723" t="s">
        <v>781</v>
      </c>
      <c r="D12" s="1724">
        <v>34.0884</v>
      </c>
      <c r="E12" s="1723">
        <v>-118.361394</v>
      </c>
      <c r="F12" s="1724"/>
      <c r="G12" s="1721">
        <f t="shared" si="0"/>
        <v>4218.0432242901379</v>
      </c>
    </row>
    <row r="13" spans="1:7" ht="16">
      <c r="A13" s="1724"/>
      <c r="B13" s="1725" t="s">
        <v>790</v>
      </c>
      <c r="C13" s="1723" t="s">
        <v>789</v>
      </c>
      <c r="D13" s="1724">
        <v>41.887892999999998</v>
      </c>
      <c r="E13" s="1723">
        <v>-87.644377000000006</v>
      </c>
      <c r="F13" s="1724"/>
      <c r="G13" s="1721">
        <f t="shared" si="0"/>
        <v>4218.0432242901379</v>
      </c>
    </row>
    <row r="14" spans="1:7" ht="16">
      <c r="A14" s="1724"/>
      <c r="B14" s="1725"/>
      <c r="C14" s="1723" t="s">
        <v>792</v>
      </c>
      <c r="D14" s="1724">
        <v>38.895465999999999</v>
      </c>
      <c r="E14" s="1723">
        <v>-104.729347</v>
      </c>
      <c r="F14" s="1724"/>
      <c r="G14" s="1721">
        <f t="shared" si="0"/>
        <v>4218.0432242901379</v>
      </c>
    </row>
    <row r="15" spans="1:7" ht="16">
      <c r="A15" s="1724"/>
      <c r="B15" s="1725" t="s">
        <v>793</v>
      </c>
      <c r="C15" s="1723" t="s">
        <v>794</v>
      </c>
      <c r="D15" s="1724">
        <v>27.770937</v>
      </c>
      <c r="E15" s="1723">
        <v>-82.664569999999998</v>
      </c>
      <c r="F15" s="1724"/>
      <c r="G15" s="1721">
        <f t="shared" si="0"/>
        <v>4218.0432242901379</v>
      </c>
    </row>
    <row r="16" spans="1:7" ht="16">
      <c r="A16" s="1773" t="s">
        <v>763</v>
      </c>
      <c r="B16" s="1725" t="s">
        <v>765</v>
      </c>
      <c r="C16" s="1723" t="s">
        <v>795</v>
      </c>
      <c r="D16" s="1724">
        <v>40.989145000000001</v>
      </c>
      <c r="E16" s="1723">
        <v>-75.232658999999998</v>
      </c>
      <c r="F16" s="1722">
        <f>'OM Outbound Logistics'!E26+'OM Outbound Logistics'!E36+'OM Outbound Logistics'!E47</f>
        <v>33994.195709475149</v>
      </c>
      <c r="G16" s="1721">
        <f>$F$16/4</f>
        <v>8498.5489273687872</v>
      </c>
    </row>
    <row r="17" spans="1:7" ht="16">
      <c r="A17" s="1724"/>
      <c r="B17" s="1725"/>
      <c r="C17" s="1723" t="s">
        <v>796</v>
      </c>
      <c r="D17" s="1724">
        <v>44.444988000000002</v>
      </c>
      <c r="E17" s="1723">
        <v>-73.117199999999997</v>
      </c>
      <c r="F17" s="1724"/>
      <c r="G17" s="1721">
        <f>$F$16/4</f>
        <v>8498.5489273687872</v>
      </c>
    </row>
    <row r="18" spans="1:7" ht="16">
      <c r="A18" s="1724"/>
      <c r="B18" s="1725"/>
      <c r="C18" s="1723" t="s">
        <v>786</v>
      </c>
      <c r="D18" s="1724">
        <v>40.742527000000003</v>
      </c>
      <c r="E18" s="1723">
        <v>-73.989211999999995</v>
      </c>
      <c r="F18" s="1724"/>
      <c r="G18" s="1721">
        <f>$F$16/4</f>
        <v>8498.5489273687872</v>
      </c>
    </row>
    <row r="19" spans="1:7" ht="16">
      <c r="A19" s="1724"/>
      <c r="B19" s="1725"/>
      <c r="C19" s="1723" t="s">
        <v>797</v>
      </c>
      <c r="D19" s="1724">
        <v>41.804752000000001</v>
      </c>
      <c r="E19" s="1723">
        <v>-72.560119999999998</v>
      </c>
      <c r="F19" s="1724"/>
      <c r="G19" s="1721">
        <f>$F$16/4</f>
        <v>8498.5489273687872</v>
      </c>
    </row>
    <row r="20" spans="1:7" ht="16">
      <c r="A20" s="1773" t="s">
        <v>767</v>
      </c>
      <c r="B20" s="1725" t="s">
        <v>769</v>
      </c>
      <c r="C20" s="1723" t="s">
        <v>798</v>
      </c>
      <c r="D20" s="1724">
        <v>33.201606699999999</v>
      </c>
      <c r="E20" s="1723">
        <v>-97.179365200000007</v>
      </c>
      <c r="F20" s="1722">
        <f>'OM Outbound Logistics'!E37+'OM Outbound Logistics'!E48</f>
        <v>31681.242239744301</v>
      </c>
      <c r="G20" s="1721">
        <f>$F$20/4</f>
        <v>7920.3105599360752</v>
      </c>
    </row>
    <row r="21" spans="1:7" ht="16">
      <c r="A21" s="1724"/>
      <c r="B21" s="1725"/>
      <c r="C21" s="1723" t="s">
        <v>781</v>
      </c>
      <c r="D21" s="1724">
        <v>38.684497999999998</v>
      </c>
      <c r="E21" s="1723">
        <v>-121.74245500000001</v>
      </c>
      <c r="F21" s="1724"/>
      <c r="G21" s="1721">
        <f>$F$20/4</f>
        <v>7920.3105599360752</v>
      </c>
    </row>
    <row r="22" spans="1:7" ht="16">
      <c r="A22" s="1724"/>
      <c r="B22" s="1725"/>
      <c r="C22" s="1723" t="s">
        <v>786</v>
      </c>
      <c r="D22" s="1724">
        <v>42.921667999999997</v>
      </c>
      <c r="E22" s="1723">
        <v>-74.175340000000006</v>
      </c>
      <c r="F22" s="1724"/>
      <c r="G22" s="1721">
        <f>$F$20/4</f>
        <v>7920.3105599360752</v>
      </c>
    </row>
    <row r="23" spans="1:7" ht="16">
      <c r="A23" s="1724"/>
      <c r="B23" s="1725"/>
      <c r="C23" s="1723" t="s">
        <v>799</v>
      </c>
      <c r="D23" s="1724">
        <v>39.565081999999997</v>
      </c>
      <c r="E23" s="1723">
        <v>-82.488029999999995</v>
      </c>
      <c r="F23" s="1724"/>
      <c r="G23" s="1721">
        <f>$F$20/4</f>
        <v>7920.3105599360752</v>
      </c>
    </row>
    <row r="24" spans="1:7" ht="16">
      <c r="A24" s="1773" t="s">
        <v>1110</v>
      </c>
      <c r="B24" s="1725" t="s">
        <v>1109</v>
      </c>
      <c r="C24" s="1723" t="s">
        <v>781</v>
      </c>
      <c r="D24" s="1724">
        <v>33.868093999999999</v>
      </c>
      <c r="E24" s="1723">
        <v>-118.100943</v>
      </c>
      <c r="F24" s="1722">
        <f>SUM('MK Bases Model (Base Case)'!$B$16:$F$16)</f>
        <v>202041.84702710359</v>
      </c>
      <c r="G24" s="1721">
        <f>F24</f>
        <v>202041.84702710359</v>
      </c>
    </row>
    <row r="25" spans="1:7" ht="16">
      <c r="A25" s="1773" t="s">
        <v>1108</v>
      </c>
      <c r="B25" s="1725" t="s">
        <v>1107</v>
      </c>
      <c r="C25" s="1723" t="s">
        <v>1106</v>
      </c>
      <c r="D25" s="1724">
        <v>38.814190000000004</v>
      </c>
      <c r="E25" s="1723">
        <v>-75.591489999999993</v>
      </c>
      <c r="F25" s="1722">
        <f>SUM('MK Bases Model (Base Case)'!$B$16:$F$16)</f>
        <v>202041.84702710359</v>
      </c>
      <c r="G25" s="1721">
        <f>F25</f>
        <v>202041.84702710359</v>
      </c>
    </row>
    <row r="26" spans="1:7" ht="16">
      <c r="A26" s="1773" t="s">
        <v>1105</v>
      </c>
      <c r="B26" s="1725"/>
      <c r="C26" s="1723" t="s">
        <v>1104</v>
      </c>
      <c r="D26" s="1724">
        <v>33.738235000000003</v>
      </c>
      <c r="E26" s="1723">
        <v>-118.281364</v>
      </c>
      <c r="F26" s="1722">
        <f>SUM('MK Bases Model (Base Case)'!$B$16:$F$16)</f>
        <v>202041.84702710359</v>
      </c>
      <c r="G26" s="1721">
        <f>$F$26/2</f>
        <v>101020.9235135518</v>
      </c>
    </row>
    <row r="27" spans="1:7" ht="17" thickBot="1">
      <c r="A27" s="1731"/>
      <c r="B27" s="1732"/>
      <c r="C27" s="1733" t="s">
        <v>786</v>
      </c>
      <c r="D27" s="1731">
        <v>40.681660000000001</v>
      </c>
      <c r="E27" s="1733">
        <v>-74.004890000000003</v>
      </c>
      <c r="F27" s="1731"/>
      <c r="G27" s="1734">
        <f>$F$26/2</f>
        <v>101020.9235135518</v>
      </c>
    </row>
    <row r="28" spans="1:7" ht="17" thickBot="1">
      <c r="A28" s="1718"/>
      <c r="B28" s="1720"/>
      <c r="C28" s="1719"/>
      <c r="D28" s="1750">
        <f>SUMPRODUCT(D4:D27,G4:G27)/SUM(G4:G27)</f>
        <v>37.245698248073083</v>
      </c>
      <c r="E28" s="1751">
        <f>SUMPRODUCT(E4:E27,G4:G27)/SUM(G4:G27)</f>
        <v>-94.555976442070204</v>
      </c>
      <c r="F28" s="1717"/>
      <c r="G28" s="1716"/>
    </row>
    <row r="29" spans="1:7" ht="16">
      <c r="A29" s="2089" t="s">
        <v>1103</v>
      </c>
      <c r="B29" s="2090"/>
      <c r="C29" s="2091"/>
      <c r="D29" s="2081" t="s">
        <v>1102</v>
      </c>
      <c r="E29" s="2082"/>
      <c r="F29" s="1717"/>
      <c r="G29" s="1716"/>
    </row>
    <row r="30" spans="1:7" ht="17" thickBot="1">
      <c r="A30" s="2086" t="s">
        <v>1118</v>
      </c>
      <c r="B30" s="2087"/>
      <c r="C30" s="2088"/>
      <c r="D30" s="2092" t="s">
        <v>1119</v>
      </c>
      <c r="E30" s="2093"/>
      <c r="F30" s="1715"/>
      <c r="G30" s="1714"/>
    </row>
    <row r="34" spans="1:7" ht="14" thickBot="1">
      <c r="A34" s="1738"/>
      <c r="B34" s="1738"/>
      <c r="C34" s="1738"/>
      <c r="D34" s="1738"/>
      <c r="E34" s="1738"/>
      <c r="F34" s="1738"/>
      <c r="G34" s="1738"/>
    </row>
    <row r="35" spans="1:7" ht="21" thickBot="1">
      <c r="A35" s="2083" t="s">
        <v>1123</v>
      </c>
      <c r="B35" s="2084"/>
      <c r="C35" s="2084"/>
      <c r="D35" s="2084"/>
      <c r="E35" s="2084"/>
      <c r="F35" s="2084"/>
      <c r="G35" s="2085"/>
    </row>
    <row r="36" spans="1:7" ht="17" thickBot="1">
      <c r="A36" s="1782" t="s">
        <v>1123</v>
      </c>
      <c r="B36" s="1783" t="s">
        <v>390</v>
      </c>
      <c r="C36" s="1784" t="s">
        <v>1126</v>
      </c>
      <c r="D36" s="1785" t="s">
        <v>1119</v>
      </c>
      <c r="E36" s="1785" t="s">
        <v>1127</v>
      </c>
      <c r="F36" s="1785" t="s">
        <v>1128</v>
      </c>
      <c r="G36" s="1770" t="s">
        <v>1129</v>
      </c>
    </row>
    <row r="37" spans="1:7" ht="16">
      <c r="A37" s="1774" t="s">
        <v>647</v>
      </c>
      <c r="B37" s="1764">
        <f>8/15</f>
        <v>0.53333333333333333</v>
      </c>
      <c r="C37" s="1761">
        <f>C48</f>
        <v>1</v>
      </c>
      <c r="D37" s="1754">
        <f>D48</f>
        <v>1</v>
      </c>
      <c r="E37" s="1754">
        <f>E48</f>
        <v>0.55769230769230771</v>
      </c>
      <c r="F37" s="1754">
        <f>F48</f>
        <v>0.92307692307692313</v>
      </c>
      <c r="G37" s="1757">
        <f>G48</f>
        <v>1</v>
      </c>
    </row>
    <row r="38" spans="1:7" ht="16">
      <c r="A38" s="1775" t="s">
        <v>1124</v>
      </c>
      <c r="B38" s="1765">
        <f>3/15</f>
        <v>0.2</v>
      </c>
      <c r="C38" s="1762">
        <f>C54</f>
        <v>0.99297709923664135</v>
      </c>
      <c r="D38" s="1753">
        <f>D54</f>
        <v>1</v>
      </c>
      <c r="E38" s="1753">
        <f>E54</f>
        <v>0.86351145038167942</v>
      </c>
      <c r="F38" s="1753">
        <f>F54</f>
        <v>0.89862595419847335</v>
      </c>
      <c r="G38" s="1758">
        <f>G54</f>
        <v>0.92916030534351135</v>
      </c>
    </row>
    <row r="39" spans="1:7" ht="16">
      <c r="A39" s="1775" t="s">
        <v>664</v>
      </c>
      <c r="B39" s="1765">
        <f>7/15</f>
        <v>0.46666666666666667</v>
      </c>
      <c r="C39" s="1762">
        <f>C57</f>
        <v>0.88321456848772761</v>
      </c>
      <c r="D39" s="1753">
        <f>D57</f>
        <v>0.84718923198733165</v>
      </c>
      <c r="E39" s="1753">
        <f>E57</f>
        <v>0.26722090261282661</v>
      </c>
      <c r="F39" s="1753">
        <f>F57</f>
        <v>0.72684085510688845</v>
      </c>
      <c r="G39" s="1758">
        <f>G57</f>
        <v>0.99999999999999989</v>
      </c>
    </row>
    <row r="40" spans="1:7" ht="16">
      <c r="A40" s="1775" t="s">
        <v>1134</v>
      </c>
      <c r="B40" s="1765">
        <f>1/15</f>
        <v>6.6666666666666666E-2</v>
      </c>
      <c r="C40" s="1762">
        <f>C60</f>
        <v>0.69613947696139489</v>
      </c>
      <c r="D40" s="1753">
        <f>D60</f>
        <v>1</v>
      </c>
      <c r="E40" s="1753">
        <f>E60</f>
        <v>0.16251556662515565</v>
      </c>
      <c r="F40" s="1753">
        <f>F60</f>
        <v>0.31818181818181812</v>
      </c>
      <c r="G40" s="1758">
        <f>G60</f>
        <v>0.30199252801992538</v>
      </c>
    </row>
    <row r="41" spans="1:7" ht="17" thickBot="1">
      <c r="A41" s="1759"/>
      <c r="B41" s="1766"/>
      <c r="C41" s="1786">
        <f>SUMPRODUCT($B$37:$B$40,C37:C40)</f>
        <v>1.1905048502723607</v>
      </c>
      <c r="D41" s="1787">
        <f>SUMPRODUCT($B$37:$B$40,D37:D40)</f>
        <v>1.1953549749274215</v>
      </c>
      <c r="E41" s="1787">
        <f>SUMPRODUCT($B$37:$B$40,E37:E40)</f>
        <v>0.6056756465065628</v>
      </c>
      <c r="F41" s="1787">
        <f>SUMPRODUCT($B$37:$B$40,F37:F40)</f>
        <v>1.0324374034093895</v>
      </c>
      <c r="G41" s="1788">
        <f>SUMPRODUCT($B$37:$B$40,G37:G40)</f>
        <v>1.2059648962700307</v>
      </c>
    </row>
    <row r="42" spans="1:7" ht="17" thickBot="1">
      <c r="A42" s="1760" t="s">
        <v>1125</v>
      </c>
      <c r="B42" s="1767"/>
      <c r="C42" s="1763">
        <f>C41/MAX(C41:G41)</f>
        <v>0.98718035156289641</v>
      </c>
      <c r="D42" s="1755">
        <f>D41/MAX(D41:H41)</f>
        <v>0.99120213086183107</v>
      </c>
      <c r="E42" s="1755">
        <f>E41/MAX(E41:I41)</f>
        <v>0.50223323114949481</v>
      </c>
      <c r="F42" s="1755">
        <f>F41/MAX(F41:J41)</f>
        <v>0.85610900168209692</v>
      </c>
      <c r="G42" s="1756">
        <f>G41/MAX(G41:K41)</f>
        <v>1</v>
      </c>
    </row>
    <row r="43" spans="1:7" ht="16">
      <c r="A43" s="1740"/>
      <c r="B43" s="1740"/>
      <c r="C43" s="1740"/>
      <c r="D43" s="1740"/>
      <c r="E43" s="1740"/>
      <c r="F43" s="1740"/>
      <c r="G43" s="1740"/>
    </row>
    <row r="44" spans="1:7" ht="17" thickBot="1">
      <c r="A44" s="1740"/>
      <c r="B44" s="1740"/>
      <c r="C44" s="1740"/>
      <c r="D44" s="1740"/>
      <c r="E44" s="1740"/>
      <c r="F44" s="1740"/>
      <c r="G44" s="1740"/>
    </row>
    <row r="45" spans="1:7" ht="21" thickBot="1">
      <c r="A45" s="2078" t="s">
        <v>1137</v>
      </c>
      <c r="B45" s="2079"/>
      <c r="C45" s="2079"/>
      <c r="D45" s="2079"/>
      <c r="E45" s="2079"/>
      <c r="F45" s="2079"/>
      <c r="G45" s="2080"/>
    </row>
    <row r="46" spans="1:7" ht="16">
      <c r="A46" s="2074" t="s">
        <v>1130</v>
      </c>
      <c r="B46" s="2075"/>
      <c r="C46" s="1776">
        <v>7.25</v>
      </c>
      <c r="D46" s="1768">
        <v>7.25</v>
      </c>
      <c r="E46" s="1768">
        <v>13</v>
      </c>
      <c r="F46" s="1768">
        <v>8.25</v>
      </c>
      <c r="G46" s="1769">
        <v>7.25</v>
      </c>
    </row>
    <row r="47" spans="1:7" ht="16">
      <c r="A47" s="2070"/>
      <c r="B47" s="2071"/>
      <c r="C47" s="1789">
        <f>1-C46/MAX($C$46:$G$46)</f>
        <v>0.44230769230769229</v>
      </c>
      <c r="D47" s="1790">
        <f>1-D46/MAX($C$46:$G$46)</f>
        <v>0.44230769230769229</v>
      </c>
      <c r="E47" s="1790">
        <f>1-E46/MAX($C$46:$G$46)</f>
        <v>0</v>
      </c>
      <c r="F47" s="1790">
        <f>1-F46/MAX($C$46:$G$46)</f>
        <v>0.36538461538461542</v>
      </c>
      <c r="G47" s="1791">
        <f>1-G46/MAX($C$46:$G$46)</f>
        <v>0.44230769230769229</v>
      </c>
    </row>
    <row r="48" spans="1:7" ht="17" thickBot="1">
      <c r="A48" s="2072"/>
      <c r="B48" s="2073"/>
      <c r="C48" s="1779">
        <f>C47+1-MAX($C$47:$G$47)</f>
        <v>1</v>
      </c>
      <c r="D48" s="1779">
        <f t="shared" ref="D48:G48" si="1">D47+1-MAX($C$47:$G$47)</f>
        <v>1</v>
      </c>
      <c r="E48" s="1779">
        <f t="shared" si="1"/>
        <v>0.55769230769230771</v>
      </c>
      <c r="F48" s="1779">
        <f t="shared" si="1"/>
        <v>0.92307692307692313</v>
      </c>
      <c r="G48" s="1779">
        <f t="shared" si="1"/>
        <v>1</v>
      </c>
    </row>
    <row r="49" spans="1:8" ht="16">
      <c r="A49" s="2074" t="s">
        <v>1132</v>
      </c>
      <c r="B49" s="2075"/>
      <c r="C49" s="1776"/>
      <c r="D49" s="1768"/>
      <c r="E49" s="1768"/>
      <c r="F49" s="1768"/>
      <c r="G49" s="1769"/>
    </row>
    <row r="50" spans="1:8" ht="16">
      <c r="A50" s="2070" t="s">
        <v>1131</v>
      </c>
      <c r="B50" s="2071"/>
      <c r="C50" s="1777">
        <v>2109</v>
      </c>
      <c r="D50" s="1725">
        <v>1618</v>
      </c>
      <c r="E50" s="1725">
        <v>340</v>
      </c>
      <c r="F50" s="1725">
        <v>471</v>
      </c>
      <c r="G50" s="1723">
        <v>2599</v>
      </c>
    </row>
    <row r="51" spans="1:8" ht="16">
      <c r="A51" s="2070" t="s">
        <v>786</v>
      </c>
      <c r="B51" s="2071"/>
      <c r="C51" s="1777">
        <v>742</v>
      </c>
      <c r="D51" s="1725">
        <v>1210</v>
      </c>
      <c r="E51" s="1725">
        <v>2935</v>
      </c>
      <c r="F51" s="1725">
        <v>2689</v>
      </c>
      <c r="G51" s="1723">
        <v>461</v>
      </c>
    </row>
    <row r="52" spans="1:8" ht="16">
      <c r="A52" s="2070" t="s">
        <v>1138</v>
      </c>
      <c r="B52" s="2071"/>
      <c r="C52" s="1777">
        <f>AVERAGE(C50:C51)</f>
        <v>1425.5</v>
      </c>
      <c r="D52" s="1725">
        <f t="shared" ref="D52:G52" si="2">AVERAGE(D50:D51)</f>
        <v>1414</v>
      </c>
      <c r="E52" s="1725">
        <f t="shared" si="2"/>
        <v>1637.5</v>
      </c>
      <c r="F52" s="1725">
        <f t="shared" si="2"/>
        <v>1580</v>
      </c>
      <c r="G52" s="1723">
        <f t="shared" si="2"/>
        <v>1530</v>
      </c>
    </row>
    <row r="53" spans="1:8" ht="16">
      <c r="A53" s="2070"/>
      <c r="B53" s="2071"/>
      <c r="C53" s="1789">
        <f>1-C52/MAX($C$52:$G$52)</f>
        <v>0.12946564885496181</v>
      </c>
      <c r="D53" s="1790">
        <f>1-D52/MAX($C$52:$G$52)</f>
        <v>0.13648854961832058</v>
      </c>
      <c r="E53" s="1790">
        <f>1-E52/MAX($C$52:$G$52)</f>
        <v>0</v>
      </c>
      <c r="F53" s="1790">
        <f>1-F52/MAX($C$52:$G$52)</f>
        <v>3.5114503816793929E-2</v>
      </c>
      <c r="G53" s="1791">
        <f>1-G52/MAX($C$52:$G$52)</f>
        <v>6.5648854961832037E-2</v>
      </c>
    </row>
    <row r="54" spans="1:8" ht="17" thickBot="1">
      <c r="A54" s="2072"/>
      <c r="B54" s="2073"/>
      <c r="C54" s="1779">
        <f>C53+1-MAX($C$53:$G$53)</f>
        <v>0.99297709923664135</v>
      </c>
      <c r="D54" s="1780">
        <f>D53+1-MAX($C$53:$G$53)</f>
        <v>1</v>
      </c>
      <c r="E54" s="1780">
        <f>E53+1-MAX($C$53:$G$53)</f>
        <v>0.86351145038167942</v>
      </c>
      <c r="F54" s="1780">
        <f>F53+1-MAX($C$53:$G$53)</f>
        <v>0.89862595419847335</v>
      </c>
      <c r="G54" s="1781">
        <f>G53+1-MAX($C$53:$G$53)</f>
        <v>0.92916030534351135</v>
      </c>
    </row>
    <row r="55" spans="1:8" ht="16">
      <c r="A55" s="2074" t="s">
        <v>1133</v>
      </c>
      <c r="B55" s="2075"/>
      <c r="C55" s="1776">
        <v>970</v>
      </c>
      <c r="D55" s="1768">
        <v>1061</v>
      </c>
      <c r="E55" s="1768">
        <v>2526</v>
      </c>
      <c r="F55" s="1768">
        <v>1365</v>
      </c>
      <c r="G55" s="1769">
        <v>675</v>
      </c>
    </row>
    <row r="56" spans="1:8" ht="16">
      <c r="A56" s="2070"/>
      <c r="B56" s="2071"/>
      <c r="C56" s="1789">
        <f>1-C55/MAX($C$55:$G$55)</f>
        <v>0.61599366587490101</v>
      </c>
      <c r="D56" s="1790">
        <f>1-D55/MAX($C$55:$G$55)</f>
        <v>0.57996832937450515</v>
      </c>
      <c r="E56" s="1790">
        <f>1-E55/MAX($C$55:$G$55)</f>
        <v>0</v>
      </c>
      <c r="F56" s="1790">
        <f>1-F55/MAX($C$55:$G$55)</f>
        <v>0.45961995249406173</v>
      </c>
      <c r="G56" s="1791">
        <f>1-G55/MAX($C$55:$G$55)</f>
        <v>0.73277909738717339</v>
      </c>
    </row>
    <row r="57" spans="1:8" ht="17" thickBot="1">
      <c r="A57" s="2072"/>
      <c r="B57" s="2073"/>
      <c r="C57" s="1779">
        <f>C56+1-MAX($C$56:$G$56)</f>
        <v>0.88321456848772761</v>
      </c>
      <c r="D57" s="1780">
        <f>D56+1-MAX($C$56:$G$56)</f>
        <v>0.84718923198733165</v>
      </c>
      <c r="E57" s="1780">
        <f>E56+1-MAX($C$56:$G$56)</f>
        <v>0.26722090261282661</v>
      </c>
      <c r="F57" s="1780">
        <f>F56+1-MAX($C$56:$G$56)</f>
        <v>0.72684085510688845</v>
      </c>
      <c r="G57" s="1781">
        <f>G56+1-MAX($C$56:$G$56)</f>
        <v>0.99999999999999989</v>
      </c>
    </row>
    <row r="58" spans="1:8" ht="16">
      <c r="A58" s="2076" t="s">
        <v>1135</v>
      </c>
      <c r="B58" s="2077"/>
      <c r="C58" s="1778">
        <v>749</v>
      </c>
      <c r="D58" s="1730">
        <v>261</v>
      </c>
      <c r="E58" s="1730">
        <v>1606</v>
      </c>
      <c r="F58" s="1730">
        <v>1356</v>
      </c>
      <c r="G58" s="1728">
        <v>1382</v>
      </c>
    </row>
    <row r="59" spans="1:8" ht="16">
      <c r="A59" s="2070"/>
      <c r="B59" s="2071"/>
      <c r="C59" s="1789">
        <f>1-(C58/MAX($C$58:$G$58))</f>
        <v>0.53362391033623913</v>
      </c>
      <c r="D59" s="1790">
        <f>1-(D58/MAX($C$58:$G$58))</f>
        <v>0.83748443337484435</v>
      </c>
      <c r="E59" s="1790">
        <f>1-(E58/MAX($C$58:$G$58))</f>
        <v>0</v>
      </c>
      <c r="F59" s="1790">
        <f>1-(F58/MAX($C$58:$G$58))</f>
        <v>0.15566625155666247</v>
      </c>
      <c r="G59" s="1791">
        <f>1-(G58/MAX($C$58:$G$58))</f>
        <v>0.13947696139476962</v>
      </c>
    </row>
    <row r="60" spans="1:8" ht="17" thickBot="1">
      <c r="A60" s="2072"/>
      <c r="B60" s="2073"/>
      <c r="C60" s="1779">
        <f>C59+1-MAX($C$59:$G$59)</f>
        <v>0.69613947696139489</v>
      </c>
      <c r="D60" s="1780">
        <f>D59+1-MAX($C$59:$G$59)</f>
        <v>1</v>
      </c>
      <c r="E60" s="1780">
        <f>E59+1-MAX($C$59:$G$59)</f>
        <v>0.16251556662515565</v>
      </c>
      <c r="F60" s="1780">
        <f>F59+1-MAX($C$59:$G$59)</f>
        <v>0.31818181818181812</v>
      </c>
      <c r="G60" s="1781">
        <f>G59+1-MAX($C$59:$G$59)</f>
        <v>0.30199252801992538</v>
      </c>
    </row>
    <row r="61" spans="1:8" ht="16">
      <c r="A61" s="1752"/>
      <c r="B61" s="1752"/>
      <c r="C61" s="1752"/>
      <c r="D61" s="1752"/>
      <c r="E61" s="1752"/>
      <c r="F61" s="1752"/>
      <c r="G61" s="1752"/>
      <c r="H61" s="1749"/>
    </row>
  </sheetData>
  <mergeCells count="22">
    <mergeCell ref="A2:G2"/>
    <mergeCell ref="A30:C30"/>
    <mergeCell ref="A29:C29"/>
    <mergeCell ref="D30:E30"/>
    <mergeCell ref="A35:G35"/>
    <mergeCell ref="A45:G45"/>
    <mergeCell ref="A46:B46"/>
    <mergeCell ref="A47:B47"/>
    <mergeCell ref="D29:E29"/>
    <mergeCell ref="A48:B48"/>
    <mergeCell ref="A49:B49"/>
    <mergeCell ref="A50:B50"/>
    <mergeCell ref="A51:B51"/>
    <mergeCell ref="A52:B52"/>
    <mergeCell ref="A58:B58"/>
    <mergeCell ref="A59:B59"/>
    <mergeCell ref="A60:B60"/>
    <mergeCell ref="A53:B53"/>
    <mergeCell ref="A54:B54"/>
    <mergeCell ref="A55:B55"/>
    <mergeCell ref="A56:B56"/>
    <mergeCell ref="A57:B57"/>
  </mergeCells>
  <hyperlinks>
    <hyperlink ref="A1" location="Index!A1" display="Index" xr:uid="{FE9CC4DF-73FF-C24C-924F-68A9D47EC12D}"/>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outlinePr summaryBelow="0" summaryRight="0"/>
  </sheetPr>
  <dimension ref="A1:W41"/>
  <sheetViews>
    <sheetView zoomScale="74" workbookViewId="0">
      <selection activeCell="A13" sqref="A13:G21"/>
    </sheetView>
  </sheetViews>
  <sheetFormatPr baseColWidth="10" defaultColWidth="14.33203125" defaultRowHeight="15.75" customHeight="1"/>
  <cols>
    <col min="1" max="1" width="25.1640625" customWidth="1"/>
    <col min="2" max="7" width="17.33203125" customWidth="1"/>
    <col min="9" max="9" width="17.6640625" customWidth="1"/>
  </cols>
  <sheetData>
    <row r="1" spans="1:23" ht="25">
      <c r="A1" s="438" t="s">
        <v>0</v>
      </c>
      <c r="H1" s="708"/>
      <c r="I1" s="708"/>
      <c r="J1" s="708"/>
      <c r="K1" s="708"/>
      <c r="L1" s="708"/>
      <c r="M1" s="708"/>
      <c r="N1" s="708"/>
      <c r="O1" s="708"/>
      <c r="P1" s="708"/>
      <c r="Q1" s="708"/>
      <c r="R1" s="708"/>
      <c r="S1" s="708"/>
      <c r="T1" s="708"/>
      <c r="U1" s="708"/>
      <c r="V1" s="708"/>
      <c r="W1" s="708"/>
    </row>
    <row r="3" spans="1:23" ht="17" customHeight="1">
      <c r="A3" s="1172" t="s">
        <v>663</v>
      </c>
      <c r="B3" s="1173" t="s">
        <v>22</v>
      </c>
      <c r="C3" s="1173" t="s">
        <v>23</v>
      </c>
      <c r="D3" s="1173" t="s">
        <v>24</v>
      </c>
      <c r="E3" s="1173" t="s">
        <v>25</v>
      </c>
      <c r="F3" s="1173" t="s">
        <v>26</v>
      </c>
      <c r="G3" s="1174" t="s">
        <v>27</v>
      </c>
    </row>
    <row r="4" spans="1:23" ht="17" customHeight="1">
      <c r="A4" s="709" t="s">
        <v>664</v>
      </c>
      <c r="B4" s="1869">
        <f>'OM Manufacturing Assumptions'!B5+'OM Manufacturing Assumptions'!B6</f>
        <v>344436</v>
      </c>
      <c r="C4" s="1869">
        <f>'OM Manufacturing Assumptions'!$B$6</f>
        <v>44436</v>
      </c>
      <c r="D4" s="1869">
        <f>'OM Manufacturing Assumptions'!$B$6</f>
        <v>44436</v>
      </c>
      <c r="E4" s="1869">
        <f>'OM Manufacturing Assumptions'!$B$6</f>
        <v>44436</v>
      </c>
      <c r="F4" s="1869">
        <f>'OM Manufacturing Assumptions'!$B$6</f>
        <v>44436</v>
      </c>
      <c r="G4" s="1870">
        <f>'OM Manufacturing Assumptions'!$B$6</f>
        <v>44436</v>
      </c>
    </row>
    <row r="5" spans="1:23" ht="17" customHeight="1">
      <c r="A5" s="709" t="s">
        <v>665</v>
      </c>
      <c r="B5" s="1869">
        <f>'OM Labor Costs'!B34</f>
        <v>146362.66666666669</v>
      </c>
      <c r="C5" s="1869">
        <f>'OM Labor Costs'!C34</f>
        <v>956848</v>
      </c>
      <c r="D5" s="1869">
        <f>'OM Labor Costs'!D34</f>
        <v>1016694.28</v>
      </c>
      <c r="E5" s="1869">
        <f>'OM Labor Costs'!E34</f>
        <v>1550266.5084000002</v>
      </c>
      <c r="F5" s="1869">
        <f>'OM Labor Costs'!F34</f>
        <v>1635034.343652</v>
      </c>
      <c r="G5" s="1870">
        <f>'OM Labor Costs'!G34</f>
        <v>1728454.0539615601</v>
      </c>
    </row>
    <row r="6" spans="1:23" ht="17" customHeight="1">
      <c r="A6" s="709" t="s">
        <v>666</v>
      </c>
      <c r="B6" s="1869">
        <f>'OM Manufacturing Assumptions'!B25</f>
        <v>5000</v>
      </c>
      <c r="C6" s="1869">
        <f>('OM Manufacturing Assumptions'!B26*7)*1.05</f>
        <v>52920</v>
      </c>
      <c r="D6" s="1871">
        <f>'OM Manufacturing Assumptions'!B26*7*1.05</f>
        <v>52920</v>
      </c>
      <c r="E6" s="1869">
        <f>('OM Manufacturing Assumptions'!B26*11)*1.05</f>
        <v>83160</v>
      </c>
      <c r="F6" s="1869">
        <f>'OM Manufacturing Assumptions'!B26*11*1.05</f>
        <v>83160</v>
      </c>
      <c r="G6" s="1870">
        <f>'OM Manufacturing Assumptions'!B26*11*1.05</f>
        <v>83160</v>
      </c>
    </row>
    <row r="7" spans="1:23" ht="17" customHeight="1">
      <c r="A7" s="709" t="s">
        <v>667</v>
      </c>
      <c r="B7" s="1869">
        <f>SUM((3*'OM Manufacturing Assumptions'!B31),(4*'OM Manufacturing Assumptions'!B32),'OM Manufacturing Assumptions'!B33,'OM Manufacturing Assumptions'!B34,'OM Manufacturing Assumptions'!B35,'OM Manufacturing Assumptions'!B36,'OM Manufacturing Assumptions'!B37)</f>
        <v>12500</v>
      </c>
      <c r="C7" s="1869">
        <v>0</v>
      </c>
      <c r="D7" s="1869">
        <f>0</f>
        <v>0</v>
      </c>
      <c r="E7" s="1869">
        <f>SUM((7*'OM Manufacturing Assumptions'!B31),(6*'OM Manufacturing Assumptions'!B32),'OM Manufacturing Assumptions'!B33,'OM Manufacturing Assumptions'!B34)</f>
        <v>18750</v>
      </c>
      <c r="F7" s="1869">
        <v>0</v>
      </c>
      <c r="G7" s="1870">
        <f>0</f>
        <v>0</v>
      </c>
    </row>
    <row r="8" spans="1:23" ht="17" customHeight="1">
      <c r="A8" s="709" t="s">
        <v>668</v>
      </c>
      <c r="B8" s="1869">
        <f>'OM Manufacturing Assumptions'!B43+'OM Manufacturing Assumptions'!B44</f>
        <v>2800</v>
      </c>
      <c r="C8" s="1869">
        <f>(SUM('OM Manufacturing Assumptions'!B41,'OM Manufacturing Assumptions'!B44,'OM Manufacturing Assumptions'!B45,'OM Manufacturing Assumptions'!B46,'OM Manufacturing Assumptions'!B53)*1.05)+'OM Manufacturing Assumptions'!B48</f>
        <v>17204.400000000001</v>
      </c>
      <c r="D8" s="1869">
        <f>(SUM('OM Manufacturing Assumptions'!B41,'OM Manufacturing Assumptions'!B44,'OM Manufacturing Assumptions'!B45,'OM Manufacturing Assumptions'!B46,'OM Manufacturing Assumptions'!B53)*1.05)+'OM Manufacturing Assumptions'!B49</f>
        <v>17204.400000000001</v>
      </c>
      <c r="E8" s="1869">
        <f>(SUM('OM Manufacturing Assumptions'!B41,'OM Manufacturing Assumptions'!B44,'OM Manufacturing Assumptions'!B45,'OM Manufacturing Assumptions'!B47,'OM Manufacturing Assumptions'!B53)*1.05)+'OM Manufacturing Assumptions'!B50</f>
        <v>17582.400000000001</v>
      </c>
      <c r="F8" s="1869">
        <f>(SUM('OM Manufacturing Assumptions'!B41,'OM Manufacturing Assumptions'!B44,'OM Manufacturing Assumptions'!B45,'OM Manufacturing Assumptions'!B47,'OM Manufacturing Assumptions'!B53)*1.05)+'OM Manufacturing Assumptions'!B51</f>
        <v>17582.400000000001</v>
      </c>
      <c r="G8" s="1870">
        <f>(SUM('OM Manufacturing Assumptions'!B41,'OM Manufacturing Assumptions'!B44,'OM Manufacturing Assumptions'!B45,'OM Manufacturing Assumptions'!B53)*1.05)+'OM Manufacturing Assumptions'!B52</f>
        <v>16070.400000000001</v>
      </c>
    </row>
    <row r="9" spans="1:23" ht="17" customHeight="1">
      <c r="A9" s="709" t="s">
        <v>510</v>
      </c>
      <c r="B9" s="1869">
        <f>'OM Manufacturing Assumptions'!F78</f>
        <v>75283.259999999995</v>
      </c>
      <c r="C9" s="1869">
        <f t="shared" ref="C9:G9" si="0">0</f>
        <v>0</v>
      </c>
      <c r="D9" s="1869">
        <f t="shared" si="0"/>
        <v>0</v>
      </c>
      <c r="E9" s="1869">
        <f t="shared" si="0"/>
        <v>0</v>
      </c>
      <c r="F9" s="1869">
        <f t="shared" si="0"/>
        <v>0</v>
      </c>
      <c r="G9" s="1870">
        <f t="shared" si="0"/>
        <v>0</v>
      </c>
      <c r="I9" s="710"/>
      <c r="J9" s="170"/>
    </row>
    <row r="10" spans="1:23" ht="17" customHeight="1">
      <c r="A10" s="711" t="s">
        <v>669</v>
      </c>
      <c r="B10" s="1872">
        <f>'OM Depreciation'!B12+'OM Depreciation'!B13</f>
        <v>280000</v>
      </c>
      <c r="C10" s="1872">
        <v>0</v>
      </c>
      <c r="D10" s="1872">
        <v>0</v>
      </c>
      <c r="E10" s="1872">
        <v>0</v>
      </c>
      <c r="F10" s="1872">
        <v>0</v>
      </c>
      <c r="G10" s="1873">
        <v>0</v>
      </c>
    </row>
    <row r="11" spans="1:23" ht="17" customHeight="1">
      <c r="A11" s="1175" t="s">
        <v>670</v>
      </c>
      <c r="B11" s="1874">
        <f t="shared" ref="B11:G11" si="1">SUM(B4:B10)</f>
        <v>866381.92666666664</v>
      </c>
      <c r="C11" s="1874">
        <f t="shared" si="1"/>
        <v>1071408.3999999999</v>
      </c>
      <c r="D11" s="1874">
        <f t="shared" si="1"/>
        <v>1131254.68</v>
      </c>
      <c r="E11" s="1874">
        <f t="shared" si="1"/>
        <v>1714194.9084000001</v>
      </c>
      <c r="F11" s="1874">
        <f t="shared" si="1"/>
        <v>1780212.7436519999</v>
      </c>
      <c r="G11" s="1875">
        <f t="shared" si="1"/>
        <v>1872120.45396156</v>
      </c>
      <c r="H11" s="380"/>
      <c r="I11" s="380"/>
      <c r="J11" s="380"/>
      <c r="K11" s="380"/>
      <c r="L11" s="380"/>
      <c r="M11" s="380"/>
      <c r="N11" s="380"/>
      <c r="O11" s="380"/>
      <c r="P11" s="380"/>
      <c r="Q11" s="380"/>
      <c r="R11" s="380"/>
      <c r="S11" s="380"/>
      <c r="T11" s="380"/>
      <c r="U11" s="380"/>
      <c r="V11" s="380"/>
      <c r="W11" s="380"/>
    </row>
    <row r="12" spans="1:23" ht="17" customHeight="1">
      <c r="A12" s="713"/>
      <c r="B12" s="6"/>
      <c r="C12" s="6"/>
      <c r="D12" s="6"/>
      <c r="E12" s="6"/>
      <c r="F12" s="6"/>
      <c r="G12" s="6"/>
    </row>
    <row r="13" spans="1:23" ht="17" customHeight="1">
      <c r="A13" s="1172" t="s">
        <v>671</v>
      </c>
      <c r="B13" s="1173" t="str">
        <f t="shared" ref="B13:G13" si="2">B3</f>
        <v>Y0</v>
      </c>
      <c r="C13" s="1173" t="str">
        <f t="shared" si="2"/>
        <v>Y1</v>
      </c>
      <c r="D13" s="1173" t="str">
        <f t="shared" si="2"/>
        <v>Y2</v>
      </c>
      <c r="E13" s="1173" t="str">
        <f t="shared" si="2"/>
        <v>Y3</v>
      </c>
      <c r="F13" s="1173" t="str">
        <f t="shared" si="2"/>
        <v>Y4</v>
      </c>
      <c r="G13" s="1174" t="str">
        <f t="shared" si="2"/>
        <v>Y5</v>
      </c>
    </row>
    <row r="14" spans="1:23" ht="17" customHeight="1">
      <c r="A14" s="709" t="s">
        <v>664</v>
      </c>
      <c r="B14" s="11">
        <f t="shared" ref="B14:G14" si="3">B4/B$11</f>
        <v>0.39755676959373937</v>
      </c>
      <c r="C14" s="11">
        <f t="shared" si="3"/>
        <v>4.1474380824342988E-2</v>
      </c>
      <c r="D14" s="11">
        <f t="shared" si="3"/>
        <v>3.9280279485782991E-2</v>
      </c>
      <c r="E14" s="11">
        <f t="shared" si="3"/>
        <v>2.5922373110695909E-2</v>
      </c>
      <c r="F14" s="11">
        <f t="shared" si="3"/>
        <v>2.4961061625051739E-2</v>
      </c>
      <c r="G14" s="258">
        <f t="shared" si="3"/>
        <v>2.3735652215096409E-2</v>
      </c>
    </row>
    <row r="15" spans="1:23" ht="17" customHeight="1">
      <c r="A15" s="709" t="s">
        <v>665</v>
      </c>
      <c r="B15" s="11">
        <f t="shared" ref="B15:G15" si="4">B5/B$11</f>
        <v>0.16893550310979483</v>
      </c>
      <c r="C15" s="11">
        <f t="shared" si="4"/>
        <v>0.89307494695766809</v>
      </c>
      <c r="D15" s="11">
        <f t="shared" si="4"/>
        <v>0.8987315570707739</v>
      </c>
      <c r="E15" s="11">
        <f t="shared" si="4"/>
        <v>0.90437003447116304</v>
      </c>
      <c r="F15" s="11">
        <f t="shared" si="4"/>
        <v>0.91844884802803117</v>
      </c>
      <c r="G15" s="258">
        <f t="shared" si="4"/>
        <v>0.92326006604116206</v>
      </c>
    </row>
    <row r="16" spans="1:23" ht="17" customHeight="1">
      <c r="A16" s="709" t="s">
        <v>666</v>
      </c>
      <c r="B16" s="11">
        <f t="shared" ref="B16:G16" si="5">B6/B$11</f>
        <v>5.7711268507609449E-3</v>
      </c>
      <c r="C16" s="11">
        <f t="shared" si="5"/>
        <v>4.9392929904227001E-2</v>
      </c>
      <c r="D16" s="11">
        <f t="shared" si="5"/>
        <v>4.6779916967945714E-2</v>
      </c>
      <c r="E16" s="11">
        <f t="shared" si="5"/>
        <v>4.8512569715669092E-2</v>
      </c>
      <c r="F16" s="11">
        <f t="shared" si="5"/>
        <v>4.6713517975049565E-2</v>
      </c>
      <c r="G16" s="258">
        <f t="shared" si="5"/>
        <v>4.4420218701220128E-2</v>
      </c>
    </row>
    <row r="17" spans="1:7" ht="17" customHeight="1">
      <c r="A17" s="709" t="s">
        <v>667</v>
      </c>
      <c r="B17" s="11">
        <f t="shared" ref="B17:G17" si="6">B7/B$11</f>
        <v>1.4427817126902363E-2</v>
      </c>
      <c r="C17" s="11">
        <f t="shared" si="6"/>
        <v>0</v>
      </c>
      <c r="D17" s="11">
        <f t="shared" si="6"/>
        <v>0</v>
      </c>
      <c r="E17" s="11">
        <f t="shared" si="6"/>
        <v>1.0938079391159157E-2</v>
      </c>
      <c r="F17" s="11">
        <f t="shared" si="6"/>
        <v>0</v>
      </c>
      <c r="G17" s="258">
        <f t="shared" si="6"/>
        <v>0</v>
      </c>
    </row>
    <row r="18" spans="1:7" ht="17" customHeight="1">
      <c r="A18" s="709" t="s">
        <v>668</v>
      </c>
      <c r="B18" s="11">
        <f t="shared" ref="B18:G18" si="7">B8/B$11</f>
        <v>3.2318310364261292E-3</v>
      </c>
      <c r="C18" s="11">
        <f t="shared" si="7"/>
        <v>1.6057742313761964E-2</v>
      </c>
      <c r="D18" s="11">
        <f t="shared" si="7"/>
        <v>1.5208246475497456E-2</v>
      </c>
      <c r="E18" s="11">
        <f t="shared" si="7"/>
        <v>1.0256943311312895E-2</v>
      </c>
      <c r="F18" s="11">
        <f t="shared" si="7"/>
        <v>9.8765723718676236E-3</v>
      </c>
      <c r="G18" s="258">
        <f t="shared" si="7"/>
        <v>8.5840630425214996E-3</v>
      </c>
    </row>
    <row r="19" spans="1:7" ht="17" customHeight="1">
      <c r="A19" s="709" t="s">
        <v>510</v>
      </c>
      <c r="B19" s="11">
        <f>B9/B11</f>
        <v>8.6893848639763488E-2</v>
      </c>
      <c r="C19" s="239">
        <v>0</v>
      </c>
      <c r="D19" s="239">
        <v>0</v>
      </c>
      <c r="E19" s="239">
        <v>0</v>
      </c>
      <c r="F19" s="239">
        <v>0</v>
      </c>
      <c r="G19" s="714">
        <v>0</v>
      </c>
    </row>
    <row r="20" spans="1:7" ht="17" customHeight="1">
      <c r="A20" s="711" t="s">
        <v>669</v>
      </c>
      <c r="B20" s="261">
        <f t="shared" ref="B20:G20" si="8">B10/B11</f>
        <v>0.32318310364261293</v>
      </c>
      <c r="C20" s="261">
        <f t="shared" si="8"/>
        <v>0</v>
      </c>
      <c r="D20" s="261">
        <f t="shared" si="8"/>
        <v>0</v>
      </c>
      <c r="E20" s="261">
        <f t="shared" si="8"/>
        <v>0</v>
      </c>
      <c r="F20" s="261">
        <f t="shared" si="8"/>
        <v>0</v>
      </c>
      <c r="G20" s="262">
        <f t="shared" si="8"/>
        <v>0</v>
      </c>
    </row>
    <row r="21" spans="1:7" ht="17" customHeight="1">
      <c r="A21" s="1175" t="s">
        <v>672</v>
      </c>
      <c r="B21" s="715">
        <f>SUM(B14:B20)</f>
        <v>1</v>
      </c>
      <c r="C21" s="715">
        <f t="shared" ref="C21:G21" si="9">SUM(C14:C19)</f>
        <v>1</v>
      </c>
      <c r="D21" s="715">
        <f t="shared" si="9"/>
        <v>1</v>
      </c>
      <c r="E21" s="715">
        <f t="shared" si="9"/>
        <v>1.0000000000000002</v>
      </c>
      <c r="F21" s="715">
        <f t="shared" si="9"/>
        <v>1</v>
      </c>
      <c r="G21" s="716">
        <f t="shared" si="9"/>
        <v>1.0000000000000002</v>
      </c>
    </row>
    <row r="33" spans="2:7" ht="13">
      <c r="B33" s="15"/>
    </row>
    <row r="41" spans="2:7" ht="13">
      <c r="B41" s="1"/>
      <c r="C41" s="1"/>
      <c r="D41" s="1"/>
      <c r="E41" s="1"/>
      <c r="F41" s="1"/>
      <c r="G41" s="1"/>
    </row>
  </sheetData>
  <hyperlinks>
    <hyperlink ref="A1" location="Index!A1" display="Index" xr:uid="{8F86C679-0B3B-BD4B-BE13-02D47870E35C}"/>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08A56-DA0B-41F6-9608-ADA491C6C2B3}">
  <sheetPr>
    <tabColor rgb="FF9900FF"/>
    <outlinePr summaryBelow="0" summaryRight="0"/>
  </sheetPr>
  <dimension ref="A1:A37"/>
  <sheetViews>
    <sheetView workbookViewId="0">
      <selection activeCell="B1" sqref="B1"/>
    </sheetView>
  </sheetViews>
  <sheetFormatPr baseColWidth="10" defaultColWidth="14.33203125" defaultRowHeight="15.75" customHeight="1"/>
  <cols>
    <col min="1" max="16384" width="14.33203125" style="983"/>
  </cols>
  <sheetData>
    <row r="1" spans="1:1" ht="26">
      <c r="A1" s="1581" t="s">
        <v>0</v>
      </c>
    </row>
    <row r="37" spans="1:1" ht="13">
      <c r="A37" s="1580" t="s">
        <v>979</v>
      </c>
    </row>
  </sheetData>
  <hyperlinks>
    <hyperlink ref="A1" location="Index!A1" display="Index" xr:uid="{2D18C394-560B-418C-A61E-30E330129E01}"/>
  </hyperlink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6FA32-89D8-46B8-9836-F57870F60372}">
  <sheetPr>
    <tabColor rgb="FF9900FF"/>
    <outlinePr summaryBelow="0" summaryRight="0"/>
  </sheetPr>
  <dimension ref="A1:U939"/>
  <sheetViews>
    <sheetView topLeftCell="A20" zoomScale="110" zoomScaleNormal="115" workbookViewId="0">
      <selection activeCell="A6" sqref="A6"/>
    </sheetView>
  </sheetViews>
  <sheetFormatPr baseColWidth="10" defaultColWidth="14.33203125" defaultRowHeight="15.75" customHeight="1"/>
  <cols>
    <col min="1" max="1" width="36.1640625" style="983" bestFit="1" customWidth="1"/>
    <col min="2" max="2" width="9.33203125" style="983" bestFit="1" customWidth="1"/>
    <col min="3" max="9" width="15.83203125" style="983" customWidth="1"/>
    <col min="10" max="11" width="12.83203125" style="983" customWidth="1"/>
    <col min="12" max="12" width="15.83203125" style="983" customWidth="1"/>
    <col min="13" max="16384" width="14.33203125" style="983"/>
  </cols>
  <sheetData>
    <row r="1" spans="1:21" ht="27" thickTop="1">
      <c r="A1" s="1625" t="s">
        <v>0</v>
      </c>
      <c r="B1" s="1624" t="s">
        <v>1006</v>
      </c>
      <c r="C1" s="1696">
        <v>2719365.4824631587</v>
      </c>
      <c r="D1" s="1584"/>
      <c r="E1" s="1582"/>
      <c r="F1" s="1582"/>
      <c r="G1" s="1582"/>
      <c r="H1" s="1583"/>
      <c r="I1" s="1582"/>
      <c r="J1" s="982"/>
      <c r="K1" s="982"/>
      <c r="L1" s="982"/>
      <c r="M1" s="982"/>
      <c r="N1" s="982"/>
      <c r="O1" s="982"/>
      <c r="P1" s="982"/>
      <c r="Q1" s="982"/>
      <c r="R1" s="982"/>
      <c r="S1" s="982"/>
      <c r="T1" s="982"/>
      <c r="U1" s="982"/>
    </row>
    <row r="2" spans="1:21" ht="15.75" customHeight="1" thickBot="1">
      <c r="A2" s="1420"/>
      <c r="B2" s="1594"/>
      <c r="C2" s="1594"/>
      <c r="D2" s="1594"/>
      <c r="E2" s="1582"/>
      <c r="F2" s="1594"/>
      <c r="G2" s="1594"/>
      <c r="H2" s="1593"/>
      <c r="I2" s="1594"/>
      <c r="J2" s="982"/>
      <c r="K2" s="982"/>
      <c r="L2" s="982"/>
      <c r="M2" s="982"/>
      <c r="N2" s="982"/>
      <c r="O2" s="982"/>
      <c r="P2" s="982"/>
      <c r="Q2" s="982"/>
      <c r="R2" s="982"/>
      <c r="S2" s="982"/>
      <c r="T2" s="982"/>
      <c r="U2" s="982"/>
    </row>
    <row r="3" spans="1:21" ht="70" thickTop="1" thickBot="1">
      <c r="A3" s="1744"/>
      <c r="B3" s="1623" t="s">
        <v>1005</v>
      </c>
      <c r="C3" s="1621" t="s">
        <v>1004</v>
      </c>
      <c r="D3" s="1621" t="s">
        <v>1003</v>
      </c>
      <c r="E3" s="1622" t="s">
        <v>1002</v>
      </c>
      <c r="F3" s="1621" t="s">
        <v>1001</v>
      </c>
      <c r="G3" s="1621" t="s">
        <v>1000</v>
      </c>
      <c r="H3" s="1621" t="s">
        <v>999</v>
      </c>
      <c r="I3" s="1620" t="s">
        <v>998</v>
      </c>
      <c r="J3" s="1618" t="s">
        <v>4</v>
      </c>
      <c r="K3" s="1619" t="s">
        <v>997</v>
      </c>
      <c r="L3" s="1618" t="s">
        <v>996</v>
      </c>
      <c r="M3" s="982"/>
      <c r="N3" s="982"/>
      <c r="O3" s="982"/>
      <c r="P3" s="982"/>
      <c r="Q3" s="982"/>
      <c r="R3" s="982"/>
      <c r="S3" s="982"/>
      <c r="T3" s="982"/>
      <c r="U3" s="982"/>
    </row>
    <row r="4" spans="1:21" ht="15.75" customHeight="1" thickTop="1">
      <c r="A4" s="1745" t="s">
        <v>995</v>
      </c>
      <c r="B4" s="1604" t="s">
        <v>2</v>
      </c>
      <c r="C4" s="1684">
        <v>289.82400000000007</v>
      </c>
      <c r="D4" s="1685">
        <v>347.14058350384715</v>
      </c>
      <c r="E4" s="1876">
        <f t="shared" ref="E4:E18" si="0">(D4-C4)/C4</f>
        <v>0.19776341332618097</v>
      </c>
      <c r="F4" s="1876">
        <f t="shared" ref="F4:F18" si="1">((C4-D4)/C4)</f>
        <v>-0.19776341332618097</v>
      </c>
      <c r="G4" s="1684">
        <v>2581876.8818686577</v>
      </c>
      <c r="H4" s="1615">
        <f t="shared" ref="H4:H18" si="2">G4-$C$1</f>
        <v>-137488.60059450101</v>
      </c>
      <c r="I4" s="1876">
        <f t="shared" ref="I4:I18" si="3">ABS(H4/$C$1)</f>
        <v>5.0559073975582715E-2</v>
      </c>
      <c r="J4" s="1617" t="s">
        <v>984</v>
      </c>
      <c r="K4" s="1613" t="s">
        <v>984</v>
      </c>
      <c r="L4" s="1612">
        <f t="shared" ref="L4:L18" si="4">E4*I4</f>
        <v>9.9987350440221244E-3</v>
      </c>
      <c r="M4" s="982"/>
      <c r="N4" s="982"/>
      <c r="O4" s="982"/>
      <c r="P4" s="982"/>
      <c r="Q4" s="982"/>
      <c r="R4" s="982"/>
      <c r="S4" s="982"/>
      <c r="T4" s="982"/>
      <c r="U4" s="982"/>
    </row>
    <row r="5" spans="1:21" ht="15.75" customHeight="1">
      <c r="A5" s="1746" t="s">
        <v>994</v>
      </c>
      <c r="B5" s="1591" t="s">
        <v>2</v>
      </c>
      <c r="C5" s="1686">
        <v>12788.862937661439</v>
      </c>
      <c r="D5" s="1687">
        <v>9885.1876415974875</v>
      </c>
      <c r="E5" s="1876">
        <f t="shared" si="0"/>
        <v>-0.22704718239750837</v>
      </c>
      <c r="F5" s="1876">
        <f t="shared" si="1"/>
        <v>0.22704718239750837</v>
      </c>
      <c r="G5" s="1684">
        <v>2839200.1177349901</v>
      </c>
      <c r="H5" s="1615">
        <f t="shared" si="2"/>
        <v>119834.63527183142</v>
      </c>
      <c r="I5" s="1876">
        <f t="shared" si="3"/>
        <v>4.4067131117398413E-2</v>
      </c>
      <c r="J5" s="1614" t="s">
        <v>984</v>
      </c>
      <c r="K5" s="1616" t="s">
        <v>984</v>
      </c>
      <c r="L5" s="1612">
        <f t="shared" si="4"/>
        <v>-1.0005317956546874E-2</v>
      </c>
      <c r="M5" s="982"/>
      <c r="N5" s="982"/>
      <c r="O5" s="982"/>
      <c r="P5" s="982"/>
      <c r="Q5" s="982"/>
      <c r="R5" s="982"/>
      <c r="S5" s="982"/>
      <c r="T5" s="982"/>
      <c r="U5" s="982"/>
    </row>
    <row r="6" spans="1:21" ht="15.75" customHeight="1">
      <c r="A6" s="1747" t="s">
        <v>993</v>
      </c>
      <c r="B6" s="1591" t="s">
        <v>2</v>
      </c>
      <c r="C6" s="1686">
        <v>16570000</v>
      </c>
      <c r="D6" s="1687">
        <v>12807828.187673289</v>
      </c>
      <c r="E6" s="1876">
        <f t="shared" si="0"/>
        <v>-0.22704718239750818</v>
      </c>
      <c r="F6" s="1876">
        <f t="shared" si="1"/>
        <v>0.22704718239750818</v>
      </c>
      <c r="G6" s="1684">
        <v>2839200.1177349892</v>
      </c>
      <c r="H6" s="1615">
        <f t="shared" si="2"/>
        <v>119834.63527183048</v>
      </c>
      <c r="I6" s="1876">
        <f t="shared" si="3"/>
        <v>4.4067131117398073E-2</v>
      </c>
      <c r="J6" s="1614" t="s">
        <v>984</v>
      </c>
      <c r="K6" s="1616" t="s">
        <v>984</v>
      </c>
      <c r="L6" s="1612">
        <f t="shared" si="4"/>
        <v>-1.0005317956546789E-2</v>
      </c>
      <c r="M6" s="982"/>
      <c r="N6" s="982"/>
      <c r="O6" s="982"/>
      <c r="P6" s="982"/>
      <c r="Q6" s="982"/>
      <c r="R6" s="982"/>
      <c r="S6" s="982"/>
      <c r="T6" s="982"/>
      <c r="U6" s="982"/>
    </row>
    <row r="7" spans="1:21" ht="15.75" customHeight="1">
      <c r="A7" s="1746" t="s">
        <v>992</v>
      </c>
      <c r="B7" s="1594" t="s">
        <v>2</v>
      </c>
      <c r="C7" s="1688">
        <v>7.2800000000000004E-2</v>
      </c>
      <c r="D7" s="1689">
        <v>5.62E-2</v>
      </c>
      <c r="E7" s="1876">
        <f t="shared" si="0"/>
        <v>-0.22802197802197807</v>
      </c>
      <c r="F7" s="1876">
        <f t="shared" si="1"/>
        <v>0.22802197802197807</v>
      </c>
      <c r="G7" s="1684">
        <v>2838601</v>
      </c>
      <c r="H7" s="1615">
        <f t="shared" si="2"/>
        <v>119235.51753684133</v>
      </c>
      <c r="I7" s="1876">
        <f t="shared" si="3"/>
        <v>4.3846815849423695E-2</v>
      </c>
      <c r="J7" s="1614" t="s">
        <v>984</v>
      </c>
      <c r="K7" s="1616" t="s">
        <v>982</v>
      </c>
      <c r="L7" s="1612">
        <f t="shared" si="4"/>
        <v>-9.99803767995101E-3</v>
      </c>
      <c r="M7" s="982"/>
      <c r="N7" s="982"/>
      <c r="O7" s="982"/>
      <c r="P7" s="982"/>
      <c r="Q7" s="982"/>
      <c r="R7" s="982"/>
      <c r="S7" s="982"/>
      <c r="T7" s="982"/>
      <c r="U7" s="982"/>
    </row>
    <row r="8" spans="1:21" ht="15.75" customHeight="1">
      <c r="A8" s="1746" t="s">
        <v>6</v>
      </c>
      <c r="B8" s="1604" t="s">
        <v>2</v>
      </c>
      <c r="C8" s="1690">
        <v>7.5800000000000006E-2</v>
      </c>
      <c r="D8" s="1689">
        <v>5.8500000000000003E-2</v>
      </c>
      <c r="E8" s="1876">
        <f t="shared" si="0"/>
        <v>-0.2282321899736148</v>
      </c>
      <c r="F8" s="1876">
        <f t="shared" si="1"/>
        <v>0.2282321899736148</v>
      </c>
      <c r="G8" s="1684">
        <v>2838601</v>
      </c>
      <c r="H8" s="1615">
        <f t="shared" si="2"/>
        <v>119235.51753684133</v>
      </c>
      <c r="I8" s="1876">
        <f t="shared" si="3"/>
        <v>4.3846815849423695E-2</v>
      </c>
      <c r="J8" s="1614" t="s">
        <v>984</v>
      </c>
      <c r="K8" s="1616" t="s">
        <v>984</v>
      </c>
      <c r="L8" s="1612">
        <f t="shared" si="4"/>
        <v>-1.0007254804683773E-2</v>
      </c>
      <c r="M8" s="982"/>
      <c r="N8" s="982"/>
      <c r="O8" s="982"/>
      <c r="P8" s="982"/>
      <c r="Q8" s="982"/>
      <c r="R8" s="982"/>
      <c r="S8" s="982"/>
      <c r="T8" s="982"/>
      <c r="U8" s="982"/>
    </row>
    <row r="9" spans="1:21" ht="15.75" customHeight="1">
      <c r="A9" s="1747" t="s">
        <v>991</v>
      </c>
      <c r="B9" s="1587" t="s">
        <v>3</v>
      </c>
      <c r="C9" s="1684">
        <v>46.08</v>
      </c>
      <c r="D9" s="1685">
        <v>79.010000000000005</v>
      </c>
      <c r="E9" s="1876">
        <f t="shared" si="0"/>
        <v>0.71462673611111127</v>
      </c>
      <c r="F9" s="1876">
        <f t="shared" si="1"/>
        <v>-0.71462673611111127</v>
      </c>
      <c r="G9" s="1684">
        <v>2681005</v>
      </c>
      <c r="H9" s="1615">
        <f t="shared" si="2"/>
        <v>-38360.482463158667</v>
      </c>
      <c r="I9" s="1876">
        <f t="shared" si="3"/>
        <v>1.4106409274715197E-2</v>
      </c>
      <c r="J9" s="1614" t="s">
        <v>984</v>
      </c>
      <c r="K9" s="1613" t="s">
        <v>984</v>
      </c>
      <c r="L9" s="1612">
        <f t="shared" si="4"/>
        <v>1.0080817218237229E-2</v>
      </c>
      <c r="M9" s="982"/>
      <c r="N9" s="982"/>
      <c r="O9" s="982"/>
      <c r="P9" s="982"/>
      <c r="Q9" s="982"/>
      <c r="R9" s="982"/>
      <c r="S9" s="982"/>
      <c r="T9" s="982"/>
      <c r="U9" s="982"/>
    </row>
    <row r="10" spans="1:21" ht="15.75" customHeight="1">
      <c r="A10" s="1746" t="s">
        <v>990</v>
      </c>
      <c r="B10" s="1587" t="s">
        <v>3</v>
      </c>
      <c r="C10" s="1684">
        <v>413660</v>
      </c>
      <c r="D10" s="1685">
        <v>1293716</v>
      </c>
      <c r="E10" s="1876">
        <f t="shared" si="0"/>
        <v>2.12748634143983</v>
      </c>
      <c r="F10" s="1876">
        <f t="shared" si="1"/>
        <v>-2.12748634143983</v>
      </c>
      <c r="G10" s="1684">
        <v>2706583</v>
      </c>
      <c r="H10" s="1615">
        <f t="shared" si="2"/>
        <v>-12782.482463158667</v>
      </c>
      <c r="I10" s="1876">
        <f t="shared" si="3"/>
        <v>4.7005386166704211E-3</v>
      </c>
      <c r="J10" s="1614" t="s">
        <v>982</v>
      </c>
      <c r="K10" s="1616" t="s">
        <v>982</v>
      </c>
      <c r="L10" s="1612">
        <f t="shared" si="4"/>
        <v>1.0000331704376794E-2</v>
      </c>
      <c r="N10" s="982"/>
      <c r="O10" s="982"/>
      <c r="P10" s="982"/>
      <c r="Q10" s="982"/>
      <c r="R10" s="982"/>
      <c r="S10" s="982"/>
      <c r="T10" s="982"/>
      <c r="U10" s="982"/>
    </row>
    <row r="11" spans="1:21" ht="15.75" customHeight="1">
      <c r="A11" s="1746" t="s">
        <v>7</v>
      </c>
      <c r="B11" s="1587" t="s">
        <v>3</v>
      </c>
      <c r="C11" s="1684">
        <v>31.11</v>
      </c>
      <c r="D11" s="1691">
        <v>111.25</v>
      </c>
      <c r="E11" s="1876">
        <f t="shared" si="0"/>
        <v>2.5760205721632916</v>
      </c>
      <c r="F11" s="1876">
        <f t="shared" si="1"/>
        <v>-2.5760205721632916</v>
      </c>
      <c r="G11" s="1684">
        <v>2708979</v>
      </c>
      <c r="H11" s="1615">
        <f t="shared" si="2"/>
        <v>-10386.482463158667</v>
      </c>
      <c r="I11" s="1876">
        <f t="shared" si="3"/>
        <v>3.8194507248620196E-3</v>
      </c>
      <c r="J11" s="1614" t="s">
        <v>982</v>
      </c>
      <c r="K11" s="1616" t="s">
        <v>984</v>
      </c>
      <c r="L11" s="1612">
        <f t="shared" si="4"/>
        <v>9.8389836416085587E-3</v>
      </c>
      <c r="M11" s="982"/>
      <c r="N11" s="982"/>
      <c r="O11" s="982"/>
      <c r="P11" s="982"/>
      <c r="Q11" s="982"/>
      <c r="R11" s="982"/>
      <c r="S11" s="982"/>
      <c r="T11" s="982"/>
      <c r="U11" s="982"/>
    </row>
    <row r="12" spans="1:21" ht="15.75" customHeight="1">
      <c r="A12" s="1746" t="s">
        <v>989</v>
      </c>
      <c r="B12" s="1587" t="s">
        <v>3</v>
      </c>
      <c r="C12" s="1684">
        <v>256050</v>
      </c>
      <c r="D12" s="1685">
        <v>1124122</v>
      </c>
      <c r="E12" s="1876">
        <f t="shared" si="0"/>
        <v>3.3902440929505957</v>
      </c>
      <c r="F12" s="1876">
        <f t="shared" si="1"/>
        <v>-3.3902440929505957</v>
      </c>
      <c r="G12" s="1684">
        <v>2711344</v>
      </c>
      <c r="H12" s="1615">
        <f t="shared" si="2"/>
        <v>-8021.4824631586671</v>
      </c>
      <c r="I12" s="1876">
        <f t="shared" si="3"/>
        <v>2.9497625511863651E-3</v>
      </c>
      <c r="J12" s="1614" t="s">
        <v>982</v>
      </c>
      <c r="K12" s="1616" t="s">
        <v>982</v>
      </c>
      <c r="L12" s="1612">
        <f t="shared" si="4"/>
        <v>1.0000415064766453E-2</v>
      </c>
      <c r="M12" s="1590"/>
      <c r="N12" s="1590"/>
      <c r="O12" s="1590"/>
      <c r="P12" s="1590"/>
      <c r="Q12" s="982"/>
      <c r="R12" s="982"/>
      <c r="S12" s="982"/>
      <c r="T12" s="982"/>
      <c r="U12" s="982"/>
    </row>
    <row r="13" spans="1:21" ht="15.75" customHeight="1">
      <c r="A13" s="1746" t="s">
        <v>988</v>
      </c>
      <c r="B13" s="1604" t="s">
        <v>2</v>
      </c>
      <c r="C13" s="1692">
        <v>168.8544</v>
      </c>
      <c r="D13" s="1685">
        <v>981.98662580796781</v>
      </c>
      <c r="E13" s="1876">
        <f t="shared" si="0"/>
        <v>4.8155820979966641</v>
      </c>
      <c r="F13" s="1876">
        <f t="shared" si="1"/>
        <v>-4.8155820979966641</v>
      </c>
      <c r="G13" s="1684">
        <v>2712682.4472400993</v>
      </c>
      <c r="H13" s="1615">
        <f t="shared" si="2"/>
        <v>-6683.0352230593562</v>
      </c>
      <c r="I13" s="1876">
        <f t="shared" si="3"/>
        <v>2.4575715423900898E-3</v>
      </c>
      <c r="J13" s="1614" t="s">
        <v>982</v>
      </c>
      <c r="K13" s="1616" t="s">
        <v>984</v>
      </c>
      <c r="L13" s="1612">
        <f t="shared" si="4"/>
        <v>1.1834637524079766E-2</v>
      </c>
    </row>
    <row r="14" spans="1:21" ht="15.75" customHeight="1">
      <c r="A14" s="1746" t="s">
        <v>987</v>
      </c>
      <c r="B14" s="1604" t="s">
        <v>3</v>
      </c>
      <c r="C14" s="1690">
        <v>0.03</v>
      </c>
      <c r="D14" s="1693">
        <v>-0.1</v>
      </c>
      <c r="E14" s="1876">
        <f t="shared" si="0"/>
        <v>-4.3333333333333339</v>
      </c>
      <c r="F14" s="1876">
        <f t="shared" si="1"/>
        <v>4.3333333333333339</v>
      </c>
      <c r="G14" s="1692">
        <v>2725827</v>
      </c>
      <c r="H14" s="1615">
        <f t="shared" si="2"/>
        <v>6461.5175368413329</v>
      </c>
      <c r="I14" s="1876">
        <f t="shared" si="3"/>
        <v>2.3761122138641665E-3</v>
      </c>
      <c r="J14" s="1614" t="s">
        <v>982</v>
      </c>
      <c r="K14" s="1613" t="s">
        <v>984</v>
      </c>
      <c r="L14" s="1612">
        <f t="shared" si="4"/>
        <v>-1.0296486260078057E-2</v>
      </c>
      <c r="M14" s="982"/>
      <c r="N14" s="982"/>
      <c r="O14" s="982"/>
      <c r="P14" s="982"/>
      <c r="Q14" s="982"/>
      <c r="R14" s="982"/>
      <c r="S14" s="982"/>
      <c r="T14" s="982"/>
      <c r="U14" s="982"/>
    </row>
    <row r="15" spans="1:21" ht="15.75" customHeight="1">
      <c r="A15" s="1746" t="s">
        <v>986</v>
      </c>
      <c r="B15" s="1604" t="s">
        <v>2</v>
      </c>
      <c r="C15" s="1692">
        <v>172760</v>
      </c>
      <c r="D15" s="1691">
        <v>977033</v>
      </c>
      <c r="E15" s="1876">
        <f t="shared" si="0"/>
        <v>4.6554352859458206</v>
      </c>
      <c r="F15" s="1876">
        <f t="shared" si="1"/>
        <v>-4.6554352859458206</v>
      </c>
      <c r="G15" s="1684">
        <v>2713524</v>
      </c>
      <c r="H15" s="1615">
        <f t="shared" si="2"/>
        <v>-5841.4824631586671</v>
      </c>
      <c r="I15" s="1876">
        <f t="shared" si="3"/>
        <v>2.148104953464197E-3</v>
      </c>
      <c r="J15" s="1614" t="s">
        <v>982</v>
      </c>
      <c r="K15" s="1614" t="s">
        <v>984</v>
      </c>
      <c r="L15" s="1612">
        <f t="shared" si="4"/>
        <v>1.0000363598272227E-2</v>
      </c>
      <c r="M15" s="982"/>
      <c r="N15" s="982"/>
      <c r="O15" s="982"/>
      <c r="P15" s="982"/>
      <c r="Q15" s="982"/>
      <c r="R15" s="982"/>
      <c r="S15" s="982"/>
      <c r="T15" s="982"/>
      <c r="U15" s="982"/>
    </row>
    <row r="16" spans="1:21" ht="15.75" customHeight="1">
      <c r="A16" s="1746" t="s">
        <v>1136</v>
      </c>
      <c r="B16" s="1582" t="s">
        <v>3</v>
      </c>
      <c r="C16" s="1684">
        <v>48112.426800000008</v>
      </c>
      <c r="D16" s="1743">
        <v>428643.4203606213</v>
      </c>
      <c r="E16" s="1876">
        <f t="shared" si="0"/>
        <v>7.9092038974143204</v>
      </c>
      <c r="F16" s="1876">
        <f t="shared" si="1"/>
        <v>-7.9092038974143204</v>
      </c>
      <c r="G16" s="1684">
        <v>2722569.9835413368</v>
      </c>
      <c r="H16" s="1615">
        <f t="shared" si="2"/>
        <v>3204.5010781781748</v>
      </c>
      <c r="I16" s="1876">
        <f t="shared" si="3"/>
        <v>1.1784002918488131E-3</v>
      </c>
      <c r="J16" s="1614" t="s">
        <v>982</v>
      </c>
      <c r="K16" s="1613" t="s">
        <v>984</v>
      </c>
      <c r="L16" s="1612">
        <f t="shared" si="4"/>
        <v>9.3202081810048049E-3</v>
      </c>
      <c r="M16" s="982"/>
      <c r="N16" s="982"/>
      <c r="O16" s="982"/>
      <c r="P16" s="982"/>
      <c r="Q16" s="982"/>
      <c r="R16" s="982"/>
      <c r="S16" s="982"/>
      <c r="T16" s="982"/>
      <c r="U16" s="982"/>
    </row>
    <row r="17" spans="1:21" ht="15.75" customHeight="1">
      <c r="A17" s="1746" t="s">
        <v>985</v>
      </c>
      <c r="B17" s="1587" t="s">
        <v>3</v>
      </c>
      <c r="C17" s="1684">
        <v>13</v>
      </c>
      <c r="D17" s="1685">
        <v>131.77000000000001</v>
      </c>
      <c r="E17" s="1876">
        <f t="shared" si="0"/>
        <v>9.1361538461538476</v>
      </c>
      <c r="F17" s="1876">
        <f t="shared" si="1"/>
        <v>-9.1361538461538476</v>
      </c>
      <c r="G17" s="1684">
        <v>2716370</v>
      </c>
      <c r="H17" s="1615">
        <f t="shared" si="2"/>
        <v>-2995.4824631586671</v>
      </c>
      <c r="I17" s="1876">
        <f t="shared" si="3"/>
        <v>1.1015372823094769E-3</v>
      </c>
      <c r="J17" s="1614" t="s">
        <v>982</v>
      </c>
      <c r="K17" s="1613" t="s">
        <v>984</v>
      </c>
      <c r="L17" s="1612">
        <f t="shared" si="4"/>
        <v>1.0063814078453585E-2</v>
      </c>
      <c r="M17" s="982"/>
      <c r="N17" s="982"/>
      <c r="O17" s="1590"/>
      <c r="P17" s="982"/>
      <c r="Q17" s="982"/>
      <c r="R17" s="982"/>
      <c r="S17" s="982"/>
      <c r="T17" s="982"/>
      <c r="U17" s="982"/>
    </row>
    <row r="18" spans="1:21" ht="15.75" customHeight="1" thickBot="1">
      <c r="A18" s="1748" t="s">
        <v>983</v>
      </c>
      <c r="B18" s="1611" t="s">
        <v>3</v>
      </c>
      <c r="C18" s="1694">
        <v>16817.53</v>
      </c>
      <c r="D18" s="1695">
        <v>403698.13</v>
      </c>
      <c r="E18" s="1877">
        <f t="shared" si="0"/>
        <v>23.004602935151595</v>
      </c>
      <c r="F18" s="1877">
        <f t="shared" si="1"/>
        <v>-23.004602935151595</v>
      </c>
      <c r="G18" s="1694">
        <v>2718173</v>
      </c>
      <c r="H18" s="1610">
        <f t="shared" si="2"/>
        <v>-1192.4824631586671</v>
      </c>
      <c r="I18" s="1877">
        <f t="shared" si="3"/>
        <v>4.3851496639522511E-4</v>
      </c>
      <c r="J18" s="1609" t="s">
        <v>982</v>
      </c>
      <c r="K18" s="1608" t="s">
        <v>982</v>
      </c>
      <c r="L18" s="1607">
        <f t="shared" si="4"/>
        <v>1.0087862683043498E-2</v>
      </c>
    </row>
    <row r="19" spans="1:21" ht="16">
      <c r="A19" s="1417"/>
      <c r="B19" s="1582"/>
      <c r="C19" s="1582"/>
      <c r="D19" s="1582"/>
      <c r="E19" s="1582"/>
      <c r="F19" s="1582"/>
      <c r="G19" s="1582"/>
      <c r="H19" s="1582"/>
      <c r="I19" s="1585"/>
      <c r="K19" s="1600"/>
      <c r="L19" s="1606"/>
    </row>
    <row r="20" spans="1:21" ht="16">
      <c r="A20" s="1739" t="s">
        <v>981</v>
      </c>
      <c r="B20" s="1605"/>
      <c r="C20" s="1605"/>
      <c r="D20" s="1582"/>
      <c r="E20" s="1582"/>
      <c r="F20" s="1582"/>
      <c r="G20" s="1597"/>
      <c r="H20" s="1582"/>
      <c r="I20" s="1585"/>
      <c r="K20" s="1600"/>
    </row>
    <row r="21" spans="1:21" ht="16">
      <c r="A21" s="1737"/>
      <c r="B21" s="2096"/>
      <c r="C21" s="2095"/>
      <c r="D21" s="1605"/>
      <c r="E21" s="1605"/>
      <c r="F21" s="1594"/>
      <c r="G21" s="1594"/>
      <c r="H21" s="1594"/>
      <c r="I21" s="1592"/>
      <c r="J21" s="1594"/>
      <c r="K21" s="1594"/>
    </row>
    <row r="22" spans="1:21" ht="16">
      <c r="A22" s="1737"/>
      <c r="B22" s="2094"/>
      <c r="C22" s="2095"/>
      <c r="D22" s="1597"/>
      <c r="E22" s="1597"/>
      <c r="F22" s="1592"/>
      <c r="G22" s="1602"/>
      <c r="H22" s="1601"/>
      <c r="I22" s="1595"/>
      <c r="J22" s="1599"/>
      <c r="K22" s="1599"/>
    </row>
    <row r="23" spans="1:21" ht="16">
      <c r="A23" s="1737"/>
      <c r="B23" s="2094"/>
      <c r="C23" s="2095"/>
      <c r="D23" s="1597"/>
      <c r="E23" s="1597"/>
      <c r="F23" s="1592"/>
      <c r="G23" s="1604"/>
      <c r="H23" s="1601"/>
      <c r="I23" s="1595"/>
      <c r="J23" s="1599"/>
      <c r="K23" s="1599"/>
    </row>
    <row r="24" spans="1:21" ht="16">
      <c r="A24" s="1737"/>
      <c r="B24" s="2094"/>
      <c r="C24" s="2095"/>
      <c r="D24" s="1597"/>
      <c r="E24" s="1597"/>
      <c r="F24" s="1592"/>
      <c r="G24" s="1602"/>
      <c r="H24" s="1601"/>
      <c r="I24" s="1595"/>
      <c r="J24" s="1599"/>
      <c r="K24" s="1599"/>
    </row>
    <row r="25" spans="1:21" ht="16">
      <c r="A25" s="1737"/>
      <c r="B25" s="2094"/>
      <c r="C25" s="2095"/>
      <c r="D25" s="1597"/>
      <c r="E25" s="1597"/>
      <c r="F25" s="1592"/>
      <c r="G25" s="1602"/>
      <c r="H25" s="1601"/>
      <c r="I25" s="1595"/>
      <c r="J25" s="1599"/>
      <c r="K25" s="1599"/>
    </row>
    <row r="26" spans="1:21" ht="16">
      <c r="A26" s="1737"/>
      <c r="B26" s="2094"/>
      <c r="C26" s="2095"/>
      <c r="D26" s="1597"/>
      <c r="E26" s="1597"/>
      <c r="F26" s="1592"/>
      <c r="G26" s="1602"/>
      <c r="H26" s="1601"/>
      <c r="I26" s="1595"/>
      <c r="J26" s="1599"/>
      <c r="K26" s="1599"/>
    </row>
    <row r="27" spans="1:21" ht="16">
      <c r="A27" s="1737"/>
      <c r="B27" s="2094"/>
      <c r="C27" s="2095"/>
      <c r="D27" s="1597"/>
      <c r="E27" s="1597"/>
      <c r="F27" s="1592"/>
      <c r="G27" s="1602"/>
      <c r="H27" s="1601"/>
      <c r="I27" s="1595"/>
      <c r="J27" s="1599"/>
      <c r="K27" s="1599"/>
    </row>
    <row r="28" spans="1:21" ht="16">
      <c r="A28" s="1737"/>
      <c r="B28" s="2094"/>
      <c r="C28" s="2095"/>
      <c r="D28" s="1597"/>
      <c r="E28" s="1597"/>
      <c r="F28" s="1592"/>
      <c r="G28" s="1602"/>
      <c r="H28" s="1601"/>
      <c r="I28" s="1595"/>
      <c r="J28" s="1599"/>
      <c r="K28" s="1599"/>
    </row>
    <row r="29" spans="1:21" ht="16">
      <c r="A29" s="1737"/>
      <c r="B29" s="2094"/>
      <c r="C29" s="2095"/>
      <c r="D29" s="1597"/>
      <c r="E29" s="1597"/>
      <c r="F29" s="1592"/>
      <c r="G29" s="1602"/>
      <c r="H29" s="1601"/>
      <c r="I29" s="1595"/>
      <c r="J29" s="1599"/>
      <c r="K29" s="1599"/>
    </row>
    <row r="30" spans="1:21" ht="16">
      <c r="A30" s="1737"/>
      <c r="B30" s="2094"/>
      <c r="C30" s="2095"/>
      <c r="D30" s="1597"/>
      <c r="E30" s="1597"/>
      <c r="F30" s="1592"/>
      <c r="G30" s="1602"/>
      <c r="H30" s="1601"/>
      <c r="I30" s="1595"/>
      <c r="J30" s="1599"/>
      <c r="K30" s="1599"/>
    </row>
    <row r="31" spans="1:21" ht="16">
      <c r="A31" s="1737"/>
      <c r="B31" s="2094"/>
      <c r="C31" s="2095"/>
      <c r="D31" s="1597"/>
      <c r="E31" s="1597"/>
      <c r="F31" s="1592"/>
      <c r="G31" s="1602"/>
      <c r="H31" s="1601"/>
      <c r="I31" s="1595"/>
      <c r="J31" s="1599"/>
      <c r="K31" s="1599"/>
    </row>
    <row r="32" spans="1:21" ht="16">
      <c r="A32" s="1737"/>
      <c r="B32" s="2094"/>
      <c r="C32" s="2095"/>
      <c r="D32" s="1597"/>
      <c r="E32" s="1597"/>
      <c r="F32" s="1592"/>
      <c r="G32" s="1602"/>
      <c r="H32" s="1601"/>
      <c r="I32" s="1595"/>
      <c r="J32" s="1599"/>
      <c r="K32" s="1599"/>
    </row>
    <row r="33" spans="1:11" ht="16">
      <c r="A33" s="1737"/>
      <c r="B33" s="2094"/>
      <c r="C33" s="2095"/>
      <c r="D33" s="1597"/>
      <c r="E33" s="1597"/>
      <c r="F33" s="1592"/>
      <c r="G33" s="1602"/>
      <c r="H33" s="1601"/>
      <c r="I33" s="1595"/>
      <c r="J33" s="1599"/>
      <c r="K33" s="1599"/>
    </row>
    <row r="34" spans="1:11" ht="16">
      <c r="A34" s="1737"/>
      <c r="B34" s="2094"/>
      <c r="C34" s="2095"/>
      <c r="D34" s="1597"/>
      <c r="E34" s="1597"/>
      <c r="F34" s="1592"/>
      <c r="G34" s="1602"/>
      <c r="H34" s="1601"/>
      <c r="I34" s="1595"/>
      <c r="K34" s="1600"/>
    </row>
    <row r="35" spans="1:11" ht="16">
      <c r="A35" s="1737"/>
      <c r="B35" s="2094"/>
      <c r="C35" s="2095"/>
      <c r="D35" s="1597"/>
      <c r="E35" s="1597"/>
      <c r="F35" s="1592"/>
      <c r="G35" s="1602"/>
      <c r="H35" s="1601"/>
      <c r="I35" s="1595"/>
      <c r="K35" s="1600"/>
    </row>
    <row r="36" spans="1:11" ht="16">
      <c r="A36" s="1737"/>
      <c r="B36" s="2094"/>
      <c r="C36" s="2095"/>
      <c r="D36" s="1597"/>
      <c r="E36" s="1597"/>
      <c r="F36" s="1592"/>
      <c r="G36" s="1602"/>
      <c r="H36" s="1601"/>
      <c r="I36" s="1595"/>
      <c r="K36" s="1600"/>
    </row>
    <row r="37" spans="1:11" ht="16">
      <c r="A37" s="1599"/>
      <c r="B37" s="1597"/>
      <c r="C37" s="1597"/>
      <c r="D37" s="1598"/>
      <c r="E37" s="1597"/>
      <c r="F37" s="1597"/>
      <c r="G37" s="1597"/>
      <c r="H37" s="1596"/>
      <c r="I37" s="1595"/>
    </row>
    <row r="40" spans="1:11" ht="13"/>
    <row r="41" spans="1:11" ht="15.75" customHeight="1">
      <c r="A41" s="1739" t="s">
        <v>980</v>
      </c>
    </row>
    <row r="53" spans="1:9" ht="16">
      <c r="A53" s="1420"/>
      <c r="B53" s="1594"/>
      <c r="C53" s="1594"/>
      <c r="D53" s="1594"/>
      <c r="E53" s="1582"/>
      <c r="F53" s="1594"/>
      <c r="G53" s="1594"/>
      <c r="H53" s="1593"/>
      <c r="I53" s="1592"/>
    </row>
    <row r="54" spans="1:9" ht="16">
      <c r="A54" s="1739"/>
      <c r="B54" s="1591"/>
      <c r="C54" s="1591"/>
      <c r="D54" s="1590"/>
      <c r="E54" s="1585"/>
      <c r="F54" s="1587"/>
      <c r="G54" s="1587"/>
      <c r="H54" s="1586"/>
      <c r="I54" s="1585"/>
    </row>
    <row r="56" spans="1:9" ht="16">
      <c r="A56" s="1739"/>
      <c r="B56" s="1587"/>
      <c r="C56" s="1587"/>
      <c r="D56" s="1587"/>
      <c r="E56" s="1585"/>
      <c r="F56" s="1587"/>
      <c r="G56" s="1587"/>
      <c r="H56" s="1586"/>
      <c r="I56" s="1585"/>
    </row>
    <row r="57" spans="1:9" ht="16">
      <c r="B57" s="1582"/>
      <c r="C57" s="1582"/>
      <c r="D57" s="1584"/>
      <c r="E57" s="1582"/>
      <c r="F57" s="1582"/>
      <c r="G57" s="1582"/>
      <c r="H57" s="1583"/>
      <c r="I57" s="1582"/>
    </row>
    <row r="58" spans="1:9" ht="16">
      <c r="B58" s="1582"/>
      <c r="C58" s="1582"/>
      <c r="D58" s="1584"/>
      <c r="E58" s="1582"/>
      <c r="F58" s="1582"/>
      <c r="G58" s="1582"/>
      <c r="H58" s="1583"/>
      <c r="I58" s="1582"/>
    </row>
    <row r="59" spans="1:9" ht="16">
      <c r="B59" s="1582"/>
      <c r="C59" s="1582"/>
      <c r="D59" s="1584"/>
      <c r="E59" s="1582"/>
      <c r="F59" s="1582"/>
      <c r="G59" s="1582"/>
      <c r="H59" s="1583"/>
      <c r="I59" s="1582"/>
    </row>
    <row r="60" spans="1:9" ht="16">
      <c r="B60" s="1582"/>
      <c r="C60" s="1582"/>
      <c r="D60" s="1584"/>
      <c r="E60" s="1582"/>
      <c r="F60" s="1582"/>
      <c r="G60" s="1582"/>
      <c r="H60" s="1583"/>
      <c r="I60" s="1582"/>
    </row>
    <row r="61" spans="1:9" ht="16">
      <c r="B61" s="1582"/>
      <c r="C61" s="1582"/>
      <c r="D61" s="1584"/>
      <c r="E61" s="1582"/>
      <c r="F61" s="1582"/>
      <c r="G61" s="1582"/>
      <c r="H61" s="1583"/>
      <c r="I61" s="1582"/>
    </row>
    <row r="62" spans="1:9" ht="16">
      <c r="B62" s="1582"/>
      <c r="C62" s="1582"/>
      <c r="D62" s="1584"/>
      <c r="E62" s="1582"/>
      <c r="F62" s="1582"/>
      <c r="G62" s="1582"/>
      <c r="H62" s="1583"/>
      <c r="I62" s="1582"/>
    </row>
    <row r="63" spans="1:9" ht="16">
      <c r="B63" s="1582"/>
      <c r="C63" s="1582"/>
      <c r="D63" s="1584"/>
      <c r="E63" s="1582"/>
      <c r="F63" s="1582"/>
      <c r="G63" s="1582"/>
      <c r="H63" s="1583"/>
      <c r="I63" s="1582"/>
    </row>
    <row r="64" spans="1:9" ht="16">
      <c r="B64" s="1582"/>
      <c r="C64" s="1582"/>
      <c r="D64" s="1584"/>
      <c r="E64" s="1582"/>
      <c r="F64" s="1582"/>
      <c r="G64" s="1582"/>
      <c r="H64" s="1583"/>
      <c r="I64" s="1582"/>
    </row>
    <row r="65" spans="2:9" ht="16">
      <c r="B65" s="1582"/>
      <c r="C65" s="1582"/>
      <c r="D65" s="1584"/>
      <c r="E65" s="1582"/>
      <c r="F65" s="1582"/>
      <c r="G65" s="1582"/>
      <c r="H65" s="1583"/>
      <c r="I65" s="1582"/>
    </row>
    <row r="66" spans="2:9" ht="16">
      <c r="B66" s="1582"/>
      <c r="C66" s="1582"/>
      <c r="D66" s="1584"/>
      <c r="E66" s="1582"/>
      <c r="F66" s="1582"/>
      <c r="G66" s="1582"/>
      <c r="H66" s="1583"/>
      <c r="I66" s="1582"/>
    </row>
    <row r="67" spans="2:9" ht="16">
      <c r="B67" s="1582"/>
      <c r="C67" s="1582"/>
      <c r="D67" s="1584"/>
      <c r="E67" s="1582"/>
      <c r="F67" s="1582"/>
      <c r="G67" s="1582"/>
      <c r="H67" s="1583"/>
      <c r="I67" s="1582"/>
    </row>
    <row r="68" spans="2:9" ht="16">
      <c r="B68" s="1582"/>
      <c r="C68" s="1582"/>
      <c r="D68" s="1584"/>
      <c r="E68" s="1582"/>
      <c r="F68" s="1582"/>
      <c r="G68" s="1582"/>
      <c r="H68" s="1583"/>
      <c r="I68" s="1582"/>
    </row>
    <row r="69" spans="2:9" ht="16">
      <c r="B69" s="1582"/>
      <c r="C69" s="1582"/>
      <c r="D69" s="1584"/>
      <c r="E69" s="1582"/>
      <c r="F69" s="1582"/>
      <c r="G69" s="1582"/>
      <c r="H69" s="1583"/>
      <c r="I69" s="1582"/>
    </row>
    <row r="70" spans="2:9" ht="16">
      <c r="B70" s="1582"/>
      <c r="C70" s="1582"/>
      <c r="D70" s="1584"/>
      <c r="E70" s="1582"/>
      <c r="F70" s="1582"/>
      <c r="G70" s="1582"/>
      <c r="H70" s="1583"/>
      <c r="I70" s="1582"/>
    </row>
    <row r="71" spans="2:9" ht="16">
      <c r="B71" s="1582"/>
      <c r="C71" s="1582"/>
      <c r="D71" s="1584"/>
      <c r="E71" s="1582"/>
      <c r="F71" s="1582"/>
      <c r="G71" s="1582"/>
      <c r="H71" s="1583"/>
      <c r="I71" s="1582"/>
    </row>
    <row r="72" spans="2:9" ht="16">
      <c r="B72" s="1582"/>
      <c r="C72" s="1582"/>
      <c r="D72" s="1584"/>
      <c r="E72" s="1582"/>
      <c r="F72" s="1582"/>
      <c r="G72" s="1582"/>
      <c r="H72" s="1583"/>
      <c r="I72" s="1582"/>
    </row>
    <row r="73" spans="2:9" ht="16">
      <c r="B73" s="1582"/>
      <c r="C73" s="1582"/>
      <c r="D73" s="1584"/>
      <c r="E73" s="1582"/>
      <c r="F73" s="1582"/>
      <c r="G73" s="1582"/>
      <c r="H73" s="1583"/>
      <c r="I73" s="1582"/>
    </row>
    <row r="74" spans="2:9" ht="16">
      <c r="B74" s="1582"/>
      <c r="C74" s="1582"/>
      <c r="D74" s="1584"/>
      <c r="E74" s="1582"/>
      <c r="F74" s="1582"/>
      <c r="G74" s="1582"/>
      <c r="H74" s="1583"/>
      <c r="I74" s="1582"/>
    </row>
    <row r="75" spans="2:9" ht="16">
      <c r="B75" s="1582"/>
      <c r="C75" s="1582"/>
      <c r="D75" s="1584"/>
      <c r="E75" s="1582"/>
      <c r="F75" s="1582"/>
      <c r="G75" s="1582"/>
      <c r="H75" s="1583"/>
      <c r="I75" s="1582"/>
    </row>
    <row r="76" spans="2:9" ht="16">
      <c r="B76" s="1582"/>
      <c r="C76" s="1582"/>
      <c r="D76" s="1584"/>
      <c r="E76" s="1582"/>
      <c r="F76" s="1582"/>
      <c r="G76" s="1582"/>
      <c r="H76" s="1583"/>
      <c r="I76" s="1582"/>
    </row>
    <row r="77" spans="2:9" ht="16">
      <c r="B77" s="1582"/>
      <c r="C77" s="1582"/>
      <c r="D77" s="1584"/>
      <c r="E77" s="1582"/>
      <c r="F77" s="1582"/>
      <c r="G77" s="1582"/>
      <c r="H77" s="1583"/>
      <c r="I77" s="1582"/>
    </row>
    <row r="78" spans="2:9" ht="16">
      <c r="B78" s="1582"/>
      <c r="C78" s="1582"/>
      <c r="D78" s="1584"/>
      <c r="E78" s="1582"/>
      <c r="F78" s="1582"/>
      <c r="G78" s="1582"/>
      <c r="H78" s="1583"/>
      <c r="I78" s="1582"/>
    </row>
    <row r="79" spans="2:9" ht="16">
      <c r="B79" s="1582"/>
      <c r="C79" s="1582"/>
      <c r="D79" s="1584"/>
      <c r="E79" s="1582"/>
      <c r="F79" s="1582"/>
      <c r="G79" s="1582"/>
      <c r="H79" s="1583"/>
      <c r="I79" s="1582"/>
    </row>
    <row r="80" spans="2:9" ht="16">
      <c r="B80" s="1582"/>
      <c r="C80" s="1582"/>
      <c r="D80" s="1584"/>
      <c r="E80" s="1582"/>
      <c r="F80" s="1582"/>
      <c r="G80" s="1582"/>
      <c r="H80" s="1583"/>
      <c r="I80" s="1582"/>
    </row>
    <row r="81" spans="2:9" ht="16">
      <c r="B81" s="1582"/>
      <c r="C81" s="1582"/>
      <c r="D81" s="1584"/>
      <c r="E81" s="1582"/>
      <c r="F81" s="1582"/>
      <c r="G81" s="1582"/>
      <c r="H81" s="1583"/>
      <c r="I81" s="1582"/>
    </row>
    <row r="82" spans="2:9" ht="16">
      <c r="B82" s="1582"/>
      <c r="C82" s="1582"/>
      <c r="D82" s="1584"/>
      <c r="E82" s="1582"/>
      <c r="F82" s="1582"/>
      <c r="G82" s="1582"/>
      <c r="H82" s="1583"/>
      <c r="I82" s="1582"/>
    </row>
    <row r="83" spans="2:9" ht="16">
      <c r="B83" s="1582"/>
      <c r="C83" s="1582"/>
      <c r="D83" s="1584"/>
      <c r="E83" s="1582"/>
      <c r="F83" s="1582"/>
      <c r="G83" s="1582"/>
      <c r="H83" s="1583"/>
      <c r="I83" s="1582"/>
    </row>
    <row r="84" spans="2:9" ht="16">
      <c r="B84" s="1582"/>
      <c r="C84" s="1582"/>
      <c r="D84" s="1584"/>
      <c r="E84" s="1582"/>
      <c r="F84" s="1582"/>
      <c r="G84" s="1582"/>
      <c r="H84" s="1583"/>
      <c r="I84" s="1582"/>
    </row>
    <row r="85" spans="2:9" ht="16">
      <c r="B85" s="1582"/>
      <c r="C85" s="1582"/>
      <c r="D85" s="1584"/>
      <c r="E85" s="1582"/>
      <c r="F85" s="1582"/>
      <c r="G85" s="1582"/>
      <c r="H85" s="1583"/>
      <c r="I85" s="1582"/>
    </row>
    <row r="86" spans="2:9" ht="16">
      <c r="B86" s="1582"/>
      <c r="C86" s="1582"/>
      <c r="D86" s="1584"/>
      <c r="E86" s="1582"/>
      <c r="F86" s="1582"/>
      <c r="G86" s="1582"/>
      <c r="H86" s="1583"/>
      <c r="I86" s="1582"/>
    </row>
    <row r="87" spans="2:9" ht="16">
      <c r="B87" s="1582"/>
      <c r="C87" s="1582"/>
      <c r="D87" s="1584"/>
      <c r="E87" s="1582"/>
      <c r="F87" s="1582"/>
      <c r="G87" s="1582"/>
      <c r="H87" s="1583"/>
      <c r="I87" s="1582"/>
    </row>
    <row r="88" spans="2:9" ht="16">
      <c r="B88" s="1582"/>
      <c r="C88" s="1582"/>
      <c r="D88" s="1584"/>
      <c r="E88" s="1582"/>
      <c r="F88" s="1582"/>
      <c r="G88" s="1582"/>
      <c r="H88" s="1583"/>
      <c r="I88" s="1582"/>
    </row>
    <row r="89" spans="2:9" ht="16">
      <c r="B89" s="1582"/>
      <c r="C89" s="1582"/>
      <c r="D89" s="1584"/>
      <c r="E89" s="1582"/>
      <c r="F89" s="1582"/>
      <c r="G89" s="1582"/>
      <c r="H89" s="1583"/>
      <c r="I89" s="1582"/>
    </row>
    <row r="90" spans="2:9" ht="16">
      <c r="B90" s="1582"/>
      <c r="C90" s="1582"/>
      <c r="D90" s="1584"/>
      <c r="E90" s="1582"/>
      <c r="F90" s="1582"/>
      <c r="G90" s="1582"/>
      <c r="H90" s="1583"/>
      <c r="I90" s="1582"/>
    </row>
    <row r="91" spans="2:9" ht="16">
      <c r="B91" s="1582"/>
      <c r="C91" s="1582"/>
      <c r="D91" s="1584"/>
      <c r="E91" s="1582"/>
      <c r="F91" s="1582"/>
      <c r="G91" s="1582"/>
      <c r="H91" s="1583"/>
      <c r="I91" s="1582"/>
    </row>
    <row r="92" spans="2:9" ht="16">
      <c r="B92" s="1582"/>
      <c r="C92" s="1582"/>
      <c r="D92" s="1584"/>
      <c r="E92" s="1582"/>
      <c r="F92" s="1582"/>
      <c r="G92" s="1582"/>
      <c r="H92" s="1583"/>
      <c r="I92" s="1582"/>
    </row>
    <row r="93" spans="2:9" ht="16">
      <c r="B93" s="1582"/>
      <c r="C93" s="1582"/>
      <c r="D93" s="1584"/>
      <c r="E93" s="1582"/>
      <c r="F93" s="1582"/>
      <c r="G93" s="1582"/>
      <c r="H93" s="1583"/>
      <c r="I93" s="1582"/>
    </row>
    <row r="94" spans="2:9" ht="16">
      <c r="B94" s="1582"/>
      <c r="C94" s="1582"/>
      <c r="D94" s="1584"/>
      <c r="E94" s="1582"/>
      <c r="F94" s="1582"/>
      <c r="G94" s="1582"/>
      <c r="H94" s="1583"/>
      <c r="I94" s="1582"/>
    </row>
    <row r="95" spans="2:9" ht="16">
      <c r="B95" s="1582"/>
      <c r="C95" s="1582"/>
      <c r="D95" s="1584"/>
      <c r="E95" s="1582"/>
      <c r="F95" s="1582"/>
      <c r="G95" s="1582"/>
      <c r="H95" s="1583"/>
      <c r="I95" s="1582"/>
    </row>
    <row r="96" spans="2:9" ht="16">
      <c r="B96" s="1582"/>
      <c r="C96" s="1582"/>
      <c r="D96" s="1584"/>
      <c r="E96" s="1582"/>
      <c r="F96" s="1582"/>
      <c r="G96" s="1582"/>
      <c r="H96" s="1583"/>
      <c r="I96" s="1582"/>
    </row>
    <row r="97" spans="2:9" ht="16">
      <c r="B97" s="1582"/>
      <c r="C97" s="1582"/>
      <c r="D97" s="1584"/>
      <c r="E97" s="1582"/>
      <c r="F97" s="1582"/>
      <c r="G97" s="1582"/>
      <c r="H97" s="1583"/>
      <c r="I97" s="1582"/>
    </row>
    <row r="98" spans="2:9" ht="16">
      <c r="B98" s="1582"/>
      <c r="C98" s="1582"/>
      <c r="D98" s="1584"/>
      <c r="E98" s="1582"/>
      <c r="F98" s="1582"/>
      <c r="G98" s="1582"/>
      <c r="H98" s="1583"/>
      <c r="I98" s="1582"/>
    </row>
    <row r="99" spans="2:9" ht="16">
      <c r="B99" s="1582"/>
      <c r="C99" s="1582"/>
      <c r="D99" s="1584"/>
      <c r="E99" s="1582"/>
      <c r="F99" s="1582"/>
      <c r="G99" s="1582"/>
      <c r="H99" s="1583"/>
      <c r="I99" s="1582"/>
    </row>
    <row r="100" spans="2:9" ht="16">
      <c r="B100" s="1582"/>
      <c r="C100" s="1582"/>
      <c r="D100" s="1584"/>
      <c r="E100" s="1582"/>
      <c r="F100" s="1582"/>
      <c r="G100" s="1582"/>
      <c r="H100" s="1583"/>
      <c r="I100" s="1582"/>
    </row>
    <row r="101" spans="2:9" ht="16">
      <c r="B101" s="1582"/>
      <c r="C101" s="1582"/>
      <c r="D101" s="1584"/>
      <c r="E101" s="1582"/>
      <c r="F101" s="1582"/>
      <c r="G101" s="1582"/>
      <c r="H101" s="1583"/>
      <c r="I101" s="1582"/>
    </row>
    <row r="102" spans="2:9" ht="16">
      <c r="B102" s="1582"/>
      <c r="C102" s="1582"/>
      <c r="D102" s="1584"/>
      <c r="E102" s="1582"/>
      <c r="F102" s="1582"/>
      <c r="G102" s="1582"/>
      <c r="H102" s="1583"/>
      <c r="I102" s="1582"/>
    </row>
    <row r="103" spans="2:9" ht="16">
      <c r="B103" s="1582"/>
      <c r="C103" s="1582"/>
      <c r="D103" s="1584"/>
      <c r="E103" s="1582"/>
      <c r="F103" s="1582"/>
      <c r="G103" s="1582"/>
      <c r="H103" s="1583"/>
      <c r="I103" s="1582"/>
    </row>
    <row r="104" spans="2:9" ht="16">
      <c r="B104" s="1582"/>
      <c r="C104" s="1582"/>
      <c r="D104" s="1584"/>
      <c r="E104" s="1582"/>
      <c r="F104" s="1582"/>
      <c r="G104" s="1582"/>
      <c r="H104" s="1583"/>
      <c r="I104" s="1582"/>
    </row>
    <row r="105" spans="2:9" ht="16">
      <c r="B105" s="1582"/>
      <c r="C105" s="1582"/>
      <c r="D105" s="1584"/>
      <c r="E105" s="1582"/>
      <c r="F105" s="1582"/>
      <c r="G105" s="1582"/>
      <c r="H105" s="1583"/>
      <c r="I105" s="1582"/>
    </row>
    <row r="106" spans="2:9" ht="16">
      <c r="B106" s="1582"/>
      <c r="C106" s="1582"/>
      <c r="D106" s="1584"/>
      <c r="E106" s="1582"/>
      <c r="F106" s="1582"/>
      <c r="G106" s="1582"/>
      <c r="H106" s="1583"/>
      <c r="I106" s="1582"/>
    </row>
    <row r="107" spans="2:9" ht="16">
      <c r="B107" s="1582"/>
      <c r="C107" s="1582"/>
      <c r="D107" s="1584"/>
      <c r="E107" s="1582"/>
      <c r="F107" s="1582"/>
      <c r="G107" s="1582"/>
      <c r="H107" s="1583"/>
      <c r="I107" s="1582"/>
    </row>
    <row r="108" spans="2:9" ht="16">
      <c r="B108" s="1582"/>
      <c r="C108" s="1582"/>
      <c r="D108" s="1584"/>
      <c r="E108" s="1582"/>
      <c r="F108" s="1582"/>
      <c r="G108" s="1582"/>
      <c r="H108" s="1583"/>
      <c r="I108" s="1582"/>
    </row>
    <row r="109" spans="2:9" ht="16">
      <c r="B109" s="1582"/>
      <c r="C109" s="1582"/>
      <c r="D109" s="1584"/>
      <c r="E109" s="1582"/>
      <c r="F109" s="1582"/>
      <c r="G109" s="1582"/>
      <c r="H109" s="1583"/>
      <c r="I109" s="1582"/>
    </row>
    <row r="110" spans="2:9" ht="16">
      <c r="B110" s="1582"/>
      <c r="C110" s="1582"/>
      <c r="D110" s="1584"/>
      <c r="E110" s="1582"/>
      <c r="F110" s="1582"/>
      <c r="G110" s="1582"/>
      <c r="H110" s="1583"/>
      <c r="I110" s="1582"/>
    </row>
    <row r="111" spans="2:9" ht="16">
      <c r="B111" s="1582"/>
      <c r="C111" s="1582"/>
      <c r="D111" s="1584"/>
      <c r="E111" s="1582"/>
      <c r="F111" s="1582"/>
      <c r="G111" s="1582"/>
      <c r="H111" s="1583"/>
      <c r="I111" s="1582"/>
    </row>
    <row r="112" spans="2:9" ht="16">
      <c r="B112" s="1582"/>
      <c r="C112" s="1582"/>
      <c r="D112" s="1584"/>
      <c r="E112" s="1582"/>
      <c r="F112" s="1582"/>
      <c r="G112" s="1582"/>
      <c r="H112" s="1583"/>
      <c r="I112" s="1582"/>
    </row>
    <row r="113" spans="2:9" ht="16">
      <c r="B113" s="1582"/>
      <c r="C113" s="1582"/>
      <c r="D113" s="1584"/>
      <c r="E113" s="1582"/>
      <c r="F113" s="1582"/>
      <c r="G113" s="1582"/>
      <c r="H113" s="1583"/>
      <c r="I113" s="1582"/>
    </row>
    <row r="114" spans="2:9" ht="16">
      <c r="B114" s="1582"/>
      <c r="C114" s="1582"/>
      <c r="D114" s="1584"/>
      <c r="E114" s="1582"/>
      <c r="F114" s="1582"/>
      <c r="G114" s="1582"/>
      <c r="H114" s="1583"/>
      <c r="I114" s="1582"/>
    </row>
    <row r="115" spans="2:9" ht="16">
      <c r="B115" s="1582"/>
      <c r="C115" s="1582"/>
      <c r="D115" s="1584"/>
      <c r="E115" s="1582"/>
      <c r="F115" s="1582"/>
      <c r="G115" s="1582"/>
      <c r="H115" s="1583"/>
      <c r="I115" s="1582"/>
    </row>
    <row r="116" spans="2:9" ht="16">
      <c r="B116" s="1582"/>
      <c r="C116" s="1582"/>
      <c r="D116" s="1584"/>
      <c r="E116" s="1582"/>
      <c r="F116" s="1582"/>
      <c r="G116" s="1582"/>
      <c r="H116" s="1583"/>
      <c r="I116" s="1582"/>
    </row>
    <row r="117" spans="2:9" ht="16">
      <c r="B117" s="1582"/>
      <c r="C117" s="1582"/>
      <c r="D117" s="1584"/>
      <c r="E117" s="1582"/>
      <c r="F117" s="1582"/>
      <c r="G117" s="1582"/>
      <c r="H117" s="1583"/>
      <c r="I117" s="1582"/>
    </row>
    <row r="118" spans="2:9" ht="16">
      <c r="B118" s="1582"/>
      <c r="C118" s="1582"/>
      <c r="D118" s="1584"/>
      <c r="E118" s="1582"/>
      <c r="F118" s="1582"/>
      <c r="G118" s="1582"/>
      <c r="H118" s="1583"/>
      <c r="I118" s="1582"/>
    </row>
    <row r="119" spans="2:9" ht="16">
      <c r="B119" s="1582"/>
      <c r="C119" s="1582"/>
      <c r="D119" s="1584"/>
      <c r="E119" s="1582"/>
      <c r="F119" s="1582"/>
      <c r="G119" s="1582"/>
      <c r="H119" s="1583"/>
      <c r="I119" s="1582"/>
    </row>
    <row r="120" spans="2:9" ht="16">
      <c r="B120" s="1582"/>
      <c r="C120" s="1582"/>
      <c r="D120" s="1584"/>
      <c r="E120" s="1582"/>
      <c r="F120" s="1582"/>
      <c r="G120" s="1582"/>
      <c r="H120" s="1583"/>
      <c r="I120" s="1582"/>
    </row>
    <row r="121" spans="2:9" ht="16">
      <c r="B121" s="1582"/>
      <c r="C121" s="1582"/>
      <c r="D121" s="1584"/>
      <c r="E121" s="1582"/>
      <c r="F121" s="1582"/>
      <c r="G121" s="1582"/>
      <c r="H121" s="1583"/>
      <c r="I121" s="1582"/>
    </row>
    <row r="122" spans="2:9" ht="16">
      <c r="B122" s="1582"/>
      <c r="C122" s="1582"/>
      <c r="D122" s="1584"/>
      <c r="E122" s="1582"/>
      <c r="F122" s="1582"/>
      <c r="G122" s="1582"/>
      <c r="H122" s="1583"/>
      <c r="I122" s="1582"/>
    </row>
    <row r="123" spans="2:9" ht="16">
      <c r="B123" s="1582"/>
      <c r="C123" s="1582"/>
      <c r="D123" s="1584"/>
      <c r="E123" s="1582"/>
      <c r="F123" s="1582"/>
      <c r="G123" s="1582"/>
      <c r="H123" s="1583"/>
      <c r="I123" s="1582"/>
    </row>
    <row r="124" spans="2:9" ht="16">
      <c r="B124" s="1582"/>
      <c r="C124" s="1582"/>
      <c r="D124" s="1584"/>
      <c r="E124" s="1582"/>
      <c r="F124" s="1582"/>
      <c r="G124" s="1582"/>
      <c r="H124" s="1583"/>
      <c r="I124" s="1582"/>
    </row>
    <row r="125" spans="2:9" ht="16">
      <c r="B125" s="1582"/>
      <c r="C125" s="1582"/>
      <c r="D125" s="1584"/>
      <c r="E125" s="1582"/>
      <c r="F125" s="1582"/>
      <c r="G125" s="1582"/>
      <c r="H125" s="1583"/>
      <c r="I125" s="1582"/>
    </row>
    <row r="126" spans="2:9" ht="16">
      <c r="B126" s="1582"/>
      <c r="C126" s="1582"/>
      <c r="D126" s="1584"/>
      <c r="E126" s="1582"/>
      <c r="F126" s="1582"/>
      <c r="G126" s="1582"/>
      <c r="H126" s="1583"/>
      <c r="I126" s="1582"/>
    </row>
    <row r="127" spans="2:9" ht="16">
      <c r="B127" s="1582"/>
      <c r="C127" s="1582"/>
      <c r="D127" s="1584"/>
      <c r="E127" s="1582"/>
      <c r="F127" s="1582"/>
      <c r="G127" s="1582"/>
      <c r="H127" s="1583"/>
      <c r="I127" s="1582"/>
    </row>
    <row r="128" spans="2:9" ht="16">
      <c r="B128" s="1582"/>
      <c r="C128" s="1582"/>
      <c r="D128" s="1584"/>
      <c r="E128" s="1582"/>
      <c r="F128" s="1582"/>
      <c r="G128" s="1582"/>
      <c r="H128" s="1583"/>
      <c r="I128" s="1582"/>
    </row>
    <row r="129" spans="2:9" ht="16">
      <c r="B129" s="1582"/>
      <c r="C129" s="1582"/>
      <c r="D129" s="1584"/>
      <c r="E129" s="1582"/>
      <c r="F129" s="1582"/>
      <c r="G129" s="1582"/>
      <c r="H129" s="1583"/>
      <c r="I129" s="1582"/>
    </row>
    <row r="130" spans="2:9" ht="16">
      <c r="B130" s="1582"/>
      <c r="C130" s="1582"/>
      <c r="D130" s="1584"/>
      <c r="E130" s="1582"/>
      <c r="F130" s="1582"/>
      <c r="G130" s="1582"/>
      <c r="H130" s="1583"/>
      <c r="I130" s="1582"/>
    </row>
    <row r="131" spans="2:9" ht="16">
      <c r="B131" s="1582"/>
      <c r="C131" s="1582"/>
      <c r="D131" s="1584"/>
      <c r="E131" s="1582"/>
      <c r="F131" s="1582"/>
      <c r="G131" s="1582"/>
      <c r="H131" s="1583"/>
      <c r="I131" s="1582"/>
    </row>
    <row r="132" spans="2:9" ht="16">
      <c r="B132" s="1582"/>
      <c r="C132" s="1582"/>
      <c r="D132" s="1584"/>
      <c r="E132" s="1582"/>
      <c r="F132" s="1582"/>
      <c r="G132" s="1582"/>
      <c r="H132" s="1583"/>
      <c r="I132" s="1582"/>
    </row>
    <row r="133" spans="2:9" ht="16">
      <c r="B133" s="1582"/>
      <c r="C133" s="1582"/>
      <c r="D133" s="1584"/>
      <c r="E133" s="1582"/>
      <c r="F133" s="1582"/>
      <c r="G133" s="1582"/>
      <c r="H133" s="1583"/>
      <c r="I133" s="1582"/>
    </row>
    <row r="134" spans="2:9" ht="16">
      <c r="B134" s="1582"/>
      <c r="C134" s="1582"/>
      <c r="D134" s="1584"/>
      <c r="E134" s="1582"/>
      <c r="F134" s="1582"/>
      <c r="G134" s="1582"/>
      <c r="H134" s="1583"/>
      <c r="I134" s="1582"/>
    </row>
    <row r="135" spans="2:9" ht="16">
      <c r="B135" s="1582"/>
      <c r="C135" s="1582"/>
      <c r="D135" s="1584"/>
      <c r="E135" s="1582"/>
      <c r="F135" s="1582"/>
      <c r="G135" s="1582"/>
      <c r="H135" s="1583"/>
      <c r="I135" s="1582"/>
    </row>
    <row r="136" spans="2:9" ht="16">
      <c r="B136" s="1582"/>
      <c r="C136" s="1582"/>
      <c r="D136" s="1584"/>
      <c r="E136" s="1582"/>
      <c r="F136" s="1582"/>
      <c r="G136" s="1582"/>
      <c r="H136" s="1583"/>
      <c r="I136" s="1582"/>
    </row>
    <row r="137" spans="2:9" ht="16">
      <c r="B137" s="1582"/>
      <c r="C137" s="1582"/>
      <c r="D137" s="1584"/>
      <c r="E137" s="1582"/>
      <c r="F137" s="1582"/>
      <c r="G137" s="1582"/>
      <c r="H137" s="1583"/>
      <c r="I137" s="1582"/>
    </row>
    <row r="138" spans="2:9" ht="16">
      <c r="B138" s="1582"/>
      <c r="C138" s="1582"/>
      <c r="D138" s="1584"/>
      <c r="E138" s="1582"/>
      <c r="F138" s="1582"/>
      <c r="G138" s="1582"/>
      <c r="H138" s="1583"/>
      <c r="I138" s="1582"/>
    </row>
    <row r="139" spans="2:9" ht="16">
      <c r="B139" s="1582"/>
      <c r="C139" s="1582"/>
      <c r="D139" s="1584"/>
      <c r="E139" s="1582"/>
      <c r="F139" s="1582"/>
      <c r="G139" s="1582"/>
      <c r="H139" s="1583"/>
      <c r="I139" s="1582"/>
    </row>
    <row r="140" spans="2:9" ht="16">
      <c r="B140" s="1582"/>
      <c r="C140" s="1582"/>
      <c r="D140" s="1584"/>
      <c r="E140" s="1582"/>
      <c r="F140" s="1582"/>
      <c r="G140" s="1582"/>
      <c r="H140" s="1583"/>
      <c r="I140" s="1582"/>
    </row>
    <row r="141" spans="2:9" ht="16">
      <c r="B141" s="1582"/>
      <c r="C141" s="1582"/>
      <c r="D141" s="1584"/>
      <c r="E141" s="1582"/>
      <c r="F141" s="1582"/>
      <c r="G141" s="1582"/>
      <c r="H141" s="1583"/>
      <c r="I141" s="1582"/>
    </row>
    <row r="142" spans="2:9" ht="16">
      <c r="B142" s="1582"/>
      <c r="C142" s="1582"/>
      <c r="D142" s="1584"/>
      <c r="E142" s="1582"/>
      <c r="F142" s="1582"/>
      <c r="G142" s="1582"/>
      <c r="H142" s="1583"/>
      <c r="I142" s="1582"/>
    </row>
    <row r="143" spans="2:9" ht="16">
      <c r="B143" s="1582"/>
      <c r="C143" s="1582"/>
      <c r="D143" s="1584"/>
      <c r="E143" s="1582"/>
      <c r="F143" s="1582"/>
      <c r="G143" s="1582"/>
      <c r="H143" s="1583"/>
      <c r="I143" s="1582"/>
    </row>
    <row r="144" spans="2:9" ht="16">
      <c r="B144" s="1582"/>
      <c r="C144" s="1582"/>
      <c r="D144" s="1584"/>
      <c r="E144" s="1582"/>
      <c r="F144" s="1582"/>
      <c r="G144" s="1582"/>
      <c r="H144" s="1583"/>
      <c r="I144" s="1582"/>
    </row>
    <row r="145" spans="2:9" ht="16">
      <c r="B145" s="1582"/>
      <c r="C145" s="1582"/>
      <c r="D145" s="1584"/>
      <c r="E145" s="1582"/>
      <c r="F145" s="1582"/>
      <c r="G145" s="1582"/>
      <c r="H145" s="1583"/>
      <c r="I145" s="1582"/>
    </row>
    <row r="146" spans="2:9" ht="16">
      <c r="B146" s="1582"/>
      <c r="C146" s="1582"/>
      <c r="D146" s="1584"/>
      <c r="E146" s="1582"/>
      <c r="F146" s="1582"/>
      <c r="G146" s="1582"/>
      <c r="H146" s="1583"/>
      <c r="I146" s="1582"/>
    </row>
    <row r="147" spans="2:9" ht="16">
      <c r="B147" s="1582"/>
      <c r="C147" s="1582"/>
      <c r="D147" s="1584"/>
      <c r="E147" s="1582"/>
      <c r="F147" s="1582"/>
      <c r="G147" s="1582"/>
      <c r="H147" s="1583"/>
      <c r="I147" s="1582"/>
    </row>
    <row r="148" spans="2:9" ht="16">
      <c r="B148" s="1582"/>
      <c r="C148" s="1582"/>
      <c r="D148" s="1584"/>
      <c r="E148" s="1582"/>
      <c r="F148" s="1582"/>
      <c r="G148" s="1582"/>
      <c r="H148" s="1583"/>
      <c r="I148" s="1582"/>
    </row>
    <row r="149" spans="2:9" ht="16">
      <c r="B149" s="1582"/>
      <c r="C149" s="1582"/>
      <c r="D149" s="1584"/>
      <c r="E149" s="1582"/>
      <c r="F149" s="1582"/>
      <c r="G149" s="1582"/>
      <c r="H149" s="1583"/>
      <c r="I149" s="1582"/>
    </row>
    <row r="150" spans="2:9" ht="16">
      <c r="B150" s="1582"/>
      <c r="C150" s="1582"/>
      <c r="D150" s="1584"/>
      <c r="E150" s="1582"/>
      <c r="F150" s="1582"/>
      <c r="G150" s="1582"/>
      <c r="H150" s="1583"/>
      <c r="I150" s="1582"/>
    </row>
    <row r="151" spans="2:9" ht="16">
      <c r="B151" s="1582"/>
      <c r="C151" s="1582"/>
      <c r="D151" s="1584"/>
      <c r="E151" s="1582"/>
      <c r="F151" s="1582"/>
      <c r="G151" s="1582"/>
      <c r="H151" s="1583"/>
      <c r="I151" s="1582"/>
    </row>
    <row r="152" spans="2:9" ht="16">
      <c r="B152" s="1582"/>
      <c r="C152" s="1582"/>
      <c r="D152" s="1584"/>
      <c r="E152" s="1582"/>
      <c r="F152" s="1582"/>
      <c r="G152" s="1582"/>
      <c r="H152" s="1583"/>
      <c r="I152" s="1582"/>
    </row>
    <row r="153" spans="2:9" ht="16">
      <c r="B153" s="1582"/>
      <c r="C153" s="1582"/>
      <c r="D153" s="1584"/>
      <c r="E153" s="1582"/>
      <c r="F153" s="1582"/>
      <c r="G153" s="1582"/>
      <c r="H153" s="1583"/>
      <c r="I153" s="1582"/>
    </row>
    <row r="154" spans="2:9" ht="16">
      <c r="B154" s="1582"/>
      <c r="C154" s="1582"/>
      <c r="D154" s="1584"/>
      <c r="E154" s="1582"/>
      <c r="F154" s="1582"/>
      <c r="G154" s="1582"/>
      <c r="H154" s="1583"/>
      <c r="I154" s="1582"/>
    </row>
    <row r="155" spans="2:9" ht="16">
      <c r="B155" s="1582"/>
      <c r="C155" s="1582"/>
      <c r="D155" s="1584"/>
      <c r="E155" s="1582"/>
      <c r="F155" s="1582"/>
      <c r="G155" s="1582"/>
      <c r="H155" s="1583"/>
      <c r="I155" s="1582"/>
    </row>
    <row r="156" spans="2:9" ht="16">
      <c r="B156" s="1582"/>
      <c r="C156" s="1582"/>
      <c r="D156" s="1584"/>
      <c r="E156" s="1582"/>
      <c r="F156" s="1582"/>
      <c r="G156" s="1582"/>
      <c r="H156" s="1583"/>
      <c r="I156" s="1582"/>
    </row>
    <row r="157" spans="2:9" ht="16">
      <c r="B157" s="1582"/>
      <c r="C157" s="1582"/>
      <c r="D157" s="1584"/>
      <c r="E157" s="1582"/>
      <c r="F157" s="1582"/>
      <c r="G157" s="1582"/>
      <c r="H157" s="1583"/>
      <c r="I157" s="1582"/>
    </row>
    <row r="158" spans="2:9" ht="16">
      <c r="B158" s="1582"/>
      <c r="C158" s="1582"/>
      <c r="D158" s="1584"/>
      <c r="E158" s="1582"/>
      <c r="F158" s="1582"/>
      <c r="G158" s="1582"/>
      <c r="H158" s="1583"/>
      <c r="I158" s="1582"/>
    </row>
    <row r="159" spans="2:9" ht="16">
      <c r="B159" s="1582"/>
      <c r="C159" s="1582"/>
      <c r="D159" s="1584"/>
      <c r="E159" s="1582"/>
      <c r="F159" s="1582"/>
      <c r="G159" s="1582"/>
      <c r="H159" s="1583"/>
      <c r="I159" s="1582"/>
    </row>
    <row r="160" spans="2:9" ht="16">
      <c r="B160" s="1582"/>
      <c r="C160" s="1582"/>
      <c r="D160" s="1584"/>
      <c r="E160" s="1582"/>
      <c r="F160" s="1582"/>
      <c r="G160" s="1582"/>
      <c r="H160" s="1583"/>
      <c r="I160" s="1582"/>
    </row>
    <row r="161" spans="2:9" ht="16">
      <c r="B161" s="1582"/>
      <c r="C161" s="1582"/>
      <c r="D161" s="1584"/>
      <c r="E161" s="1582"/>
      <c r="F161" s="1582"/>
      <c r="G161" s="1582"/>
      <c r="H161" s="1583"/>
      <c r="I161" s="1582"/>
    </row>
    <row r="162" spans="2:9" ht="16">
      <c r="B162" s="1582"/>
      <c r="C162" s="1582"/>
      <c r="D162" s="1584"/>
      <c r="E162" s="1582"/>
      <c r="F162" s="1582"/>
      <c r="G162" s="1582"/>
      <c r="H162" s="1583"/>
      <c r="I162" s="1582"/>
    </row>
    <row r="163" spans="2:9" ht="16">
      <c r="B163" s="1582"/>
      <c r="C163" s="1582"/>
      <c r="D163" s="1584"/>
      <c r="E163" s="1582"/>
      <c r="F163" s="1582"/>
      <c r="G163" s="1582"/>
      <c r="H163" s="1583"/>
      <c r="I163" s="1582"/>
    </row>
    <row r="164" spans="2:9" ht="16">
      <c r="B164" s="1582"/>
      <c r="C164" s="1582"/>
      <c r="D164" s="1584"/>
      <c r="E164" s="1582"/>
      <c r="F164" s="1582"/>
      <c r="G164" s="1582"/>
      <c r="H164" s="1583"/>
      <c r="I164" s="1582"/>
    </row>
    <row r="165" spans="2:9" ht="16">
      <c r="B165" s="1582"/>
      <c r="C165" s="1582"/>
      <c r="D165" s="1584"/>
      <c r="E165" s="1582"/>
      <c r="F165" s="1582"/>
      <c r="G165" s="1582"/>
      <c r="H165" s="1583"/>
      <c r="I165" s="1582"/>
    </row>
    <row r="166" spans="2:9" ht="16">
      <c r="B166" s="1582"/>
      <c r="C166" s="1582"/>
      <c r="D166" s="1584"/>
      <c r="E166" s="1582"/>
      <c r="F166" s="1582"/>
      <c r="G166" s="1582"/>
      <c r="H166" s="1583"/>
      <c r="I166" s="1582"/>
    </row>
    <row r="167" spans="2:9" ht="16">
      <c r="B167" s="1582"/>
      <c r="C167" s="1582"/>
      <c r="D167" s="1584"/>
      <c r="E167" s="1582"/>
      <c r="F167" s="1582"/>
      <c r="G167" s="1582"/>
      <c r="H167" s="1583"/>
      <c r="I167" s="1582"/>
    </row>
    <row r="168" spans="2:9" ht="16">
      <c r="B168" s="1582"/>
      <c r="C168" s="1582"/>
      <c r="D168" s="1584"/>
      <c r="E168" s="1582"/>
      <c r="F168" s="1582"/>
      <c r="G168" s="1582"/>
      <c r="H168" s="1583"/>
      <c r="I168" s="1582"/>
    </row>
    <row r="169" spans="2:9" ht="16">
      <c r="B169" s="1582"/>
      <c r="C169" s="1582"/>
      <c r="D169" s="1584"/>
      <c r="E169" s="1582"/>
      <c r="F169" s="1582"/>
      <c r="G169" s="1582"/>
      <c r="H169" s="1583"/>
      <c r="I169" s="1582"/>
    </row>
    <row r="170" spans="2:9" ht="16">
      <c r="B170" s="1582"/>
      <c r="C170" s="1582"/>
      <c r="D170" s="1584"/>
      <c r="E170" s="1582"/>
      <c r="F170" s="1582"/>
      <c r="G170" s="1582"/>
      <c r="H170" s="1583"/>
      <c r="I170" s="1582"/>
    </row>
    <row r="171" spans="2:9" ht="16">
      <c r="B171" s="1582"/>
      <c r="C171" s="1582"/>
      <c r="D171" s="1584"/>
      <c r="E171" s="1582"/>
      <c r="F171" s="1582"/>
      <c r="G171" s="1582"/>
      <c r="H171" s="1583"/>
      <c r="I171" s="1582"/>
    </row>
    <row r="172" spans="2:9" ht="16">
      <c r="B172" s="1582"/>
      <c r="C172" s="1582"/>
      <c r="D172" s="1584"/>
      <c r="E172" s="1582"/>
      <c r="F172" s="1582"/>
      <c r="G172" s="1582"/>
      <c r="H172" s="1583"/>
      <c r="I172" s="1582"/>
    </row>
    <row r="173" spans="2:9" ht="16">
      <c r="B173" s="1582"/>
      <c r="C173" s="1582"/>
      <c r="D173" s="1584"/>
      <c r="E173" s="1582"/>
      <c r="F173" s="1582"/>
      <c r="G173" s="1582"/>
      <c r="H173" s="1583"/>
      <c r="I173" s="1582"/>
    </row>
    <row r="174" spans="2:9" ht="16">
      <c r="B174" s="1582"/>
      <c r="C174" s="1582"/>
      <c r="D174" s="1584"/>
      <c r="E174" s="1582"/>
      <c r="F174" s="1582"/>
      <c r="G174" s="1582"/>
      <c r="H174" s="1583"/>
      <c r="I174" s="1582"/>
    </row>
    <row r="175" spans="2:9" ht="16">
      <c r="B175" s="1582"/>
      <c r="C175" s="1582"/>
      <c r="D175" s="1584"/>
      <c r="E175" s="1582"/>
      <c r="F175" s="1582"/>
      <c r="G175" s="1582"/>
      <c r="H175" s="1583"/>
      <c r="I175" s="1582"/>
    </row>
    <row r="176" spans="2:9" ht="16">
      <c r="B176" s="1582"/>
      <c r="C176" s="1582"/>
      <c r="D176" s="1584"/>
      <c r="E176" s="1582"/>
      <c r="F176" s="1582"/>
      <c r="G176" s="1582"/>
      <c r="H176" s="1583"/>
      <c r="I176" s="1582"/>
    </row>
    <row r="177" spans="2:9" ht="16">
      <c r="B177" s="1582"/>
      <c r="C177" s="1582"/>
      <c r="D177" s="1584"/>
      <c r="E177" s="1582"/>
      <c r="F177" s="1582"/>
      <c r="G177" s="1582"/>
      <c r="H177" s="1583"/>
      <c r="I177" s="1582"/>
    </row>
    <row r="178" spans="2:9" ht="16">
      <c r="B178" s="1582"/>
      <c r="C178" s="1582"/>
      <c r="D178" s="1584"/>
      <c r="E178" s="1582"/>
      <c r="F178" s="1582"/>
      <c r="G178" s="1582"/>
      <c r="H178" s="1583"/>
      <c r="I178" s="1582"/>
    </row>
    <row r="179" spans="2:9" ht="16">
      <c r="B179" s="1582"/>
      <c r="C179" s="1582"/>
      <c r="D179" s="1584"/>
      <c r="E179" s="1582"/>
      <c r="F179" s="1582"/>
      <c r="G179" s="1582"/>
      <c r="H179" s="1583"/>
      <c r="I179" s="1582"/>
    </row>
    <row r="180" spans="2:9" ht="16">
      <c r="B180" s="1582"/>
      <c r="C180" s="1582"/>
      <c r="D180" s="1584"/>
      <c r="E180" s="1582"/>
      <c r="F180" s="1582"/>
      <c r="G180" s="1582"/>
      <c r="H180" s="1583"/>
      <c r="I180" s="1582"/>
    </row>
    <row r="181" spans="2:9" ht="16">
      <c r="B181" s="1582"/>
      <c r="C181" s="1582"/>
      <c r="D181" s="1584"/>
      <c r="E181" s="1582"/>
      <c r="F181" s="1582"/>
      <c r="G181" s="1582"/>
      <c r="H181" s="1583"/>
      <c r="I181" s="1582"/>
    </row>
    <row r="182" spans="2:9" ht="16">
      <c r="B182" s="1582"/>
      <c r="C182" s="1582"/>
      <c r="D182" s="1584"/>
      <c r="E182" s="1582"/>
      <c r="F182" s="1582"/>
      <c r="G182" s="1582"/>
      <c r="H182" s="1583"/>
      <c r="I182" s="1582"/>
    </row>
    <row r="183" spans="2:9" ht="16">
      <c r="B183" s="1582"/>
      <c r="C183" s="1582"/>
      <c r="D183" s="1584"/>
      <c r="E183" s="1582"/>
      <c r="F183" s="1582"/>
      <c r="G183" s="1582"/>
      <c r="H183" s="1583"/>
      <c r="I183" s="1582"/>
    </row>
    <row r="184" spans="2:9" ht="16">
      <c r="B184" s="1582"/>
      <c r="C184" s="1582"/>
      <c r="D184" s="1584"/>
      <c r="E184" s="1582"/>
      <c r="F184" s="1582"/>
      <c r="G184" s="1582"/>
      <c r="H184" s="1583"/>
      <c r="I184" s="1582"/>
    </row>
    <row r="185" spans="2:9" ht="16">
      <c r="B185" s="1582"/>
      <c r="C185" s="1582"/>
      <c r="D185" s="1584"/>
      <c r="E185" s="1582"/>
      <c r="F185" s="1582"/>
      <c r="G185" s="1582"/>
      <c r="H185" s="1583"/>
      <c r="I185" s="1582"/>
    </row>
    <row r="186" spans="2:9" ht="16">
      <c r="B186" s="1582"/>
      <c r="C186" s="1582"/>
      <c r="D186" s="1584"/>
      <c r="E186" s="1582"/>
      <c r="F186" s="1582"/>
      <c r="G186" s="1582"/>
      <c r="H186" s="1583"/>
      <c r="I186" s="1582"/>
    </row>
    <row r="187" spans="2:9" ht="16">
      <c r="B187" s="1582"/>
      <c r="C187" s="1582"/>
      <c r="D187" s="1584"/>
      <c r="E187" s="1582"/>
      <c r="F187" s="1582"/>
      <c r="G187" s="1582"/>
      <c r="H187" s="1583"/>
      <c r="I187" s="1582"/>
    </row>
    <row r="188" spans="2:9" ht="16">
      <c r="B188" s="1582"/>
      <c r="C188" s="1582"/>
      <c r="D188" s="1584"/>
      <c r="E188" s="1582"/>
      <c r="F188" s="1582"/>
      <c r="G188" s="1582"/>
      <c r="H188" s="1583"/>
      <c r="I188" s="1582"/>
    </row>
    <row r="189" spans="2:9" ht="16">
      <c r="B189" s="1582"/>
      <c r="C189" s="1582"/>
      <c r="D189" s="1584"/>
      <c r="E189" s="1582"/>
      <c r="F189" s="1582"/>
      <c r="G189" s="1582"/>
      <c r="H189" s="1583"/>
      <c r="I189" s="1582"/>
    </row>
    <row r="190" spans="2:9" ht="16">
      <c r="B190" s="1582"/>
      <c r="C190" s="1582"/>
      <c r="D190" s="1584"/>
      <c r="E190" s="1582"/>
      <c r="F190" s="1582"/>
      <c r="G190" s="1582"/>
      <c r="H190" s="1583"/>
      <c r="I190" s="1582"/>
    </row>
    <row r="191" spans="2:9" ht="16">
      <c r="B191" s="1582"/>
      <c r="C191" s="1582"/>
      <c r="D191" s="1584"/>
      <c r="E191" s="1582"/>
      <c r="F191" s="1582"/>
      <c r="G191" s="1582"/>
      <c r="H191" s="1583"/>
      <c r="I191" s="1582"/>
    </row>
    <row r="192" spans="2:9" ht="16">
      <c r="B192" s="1582"/>
      <c r="C192" s="1582"/>
      <c r="D192" s="1584"/>
      <c r="E192" s="1582"/>
      <c r="F192" s="1582"/>
      <c r="G192" s="1582"/>
      <c r="H192" s="1583"/>
      <c r="I192" s="1582"/>
    </row>
    <row r="193" spans="2:9" ht="16">
      <c r="B193" s="1582"/>
      <c r="C193" s="1582"/>
      <c r="D193" s="1584"/>
      <c r="E193" s="1582"/>
      <c r="F193" s="1582"/>
      <c r="G193" s="1582"/>
      <c r="H193" s="1583"/>
      <c r="I193" s="1582"/>
    </row>
    <row r="194" spans="2:9" ht="16">
      <c r="B194" s="1582"/>
      <c r="C194" s="1582"/>
      <c r="D194" s="1584"/>
      <c r="E194" s="1582"/>
      <c r="F194" s="1582"/>
      <c r="G194" s="1582"/>
      <c r="H194" s="1583"/>
      <c r="I194" s="1582"/>
    </row>
    <row r="195" spans="2:9" ht="16">
      <c r="B195" s="1582"/>
      <c r="C195" s="1582"/>
      <c r="D195" s="1584"/>
      <c r="E195" s="1582"/>
      <c r="F195" s="1582"/>
      <c r="G195" s="1582"/>
      <c r="H195" s="1583"/>
      <c r="I195" s="1582"/>
    </row>
    <row r="196" spans="2:9" ht="16">
      <c r="B196" s="1582"/>
      <c r="C196" s="1582"/>
      <c r="D196" s="1584"/>
      <c r="E196" s="1582"/>
      <c r="F196" s="1582"/>
      <c r="G196" s="1582"/>
      <c r="H196" s="1583"/>
      <c r="I196" s="1582"/>
    </row>
    <row r="197" spans="2:9" ht="16">
      <c r="B197" s="1582"/>
      <c r="C197" s="1582"/>
      <c r="D197" s="1584"/>
      <c r="E197" s="1582"/>
      <c r="F197" s="1582"/>
      <c r="G197" s="1582"/>
      <c r="H197" s="1583"/>
      <c r="I197" s="1582"/>
    </row>
    <row r="198" spans="2:9" ht="16">
      <c r="B198" s="1582"/>
      <c r="C198" s="1582"/>
      <c r="D198" s="1584"/>
      <c r="E198" s="1582"/>
      <c r="F198" s="1582"/>
      <c r="G198" s="1582"/>
      <c r="H198" s="1583"/>
      <c r="I198" s="1582"/>
    </row>
    <row r="199" spans="2:9" ht="16">
      <c r="B199" s="1582"/>
      <c r="C199" s="1582"/>
      <c r="D199" s="1584"/>
      <c r="E199" s="1582"/>
      <c r="F199" s="1582"/>
      <c r="G199" s="1582"/>
      <c r="H199" s="1583"/>
      <c r="I199" s="1582"/>
    </row>
    <row r="200" spans="2:9" ht="16">
      <c r="B200" s="1582"/>
      <c r="C200" s="1582"/>
      <c r="D200" s="1584"/>
      <c r="E200" s="1582"/>
      <c r="F200" s="1582"/>
      <c r="G200" s="1582"/>
      <c r="H200" s="1583"/>
      <c r="I200" s="1582"/>
    </row>
    <row r="201" spans="2:9" ht="16">
      <c r="B201" s="1582"/>
      <c r="C201" s="1582"/>
      <c r="D201" s="1584"/>
      <c r="E201" s="1582"/>
      <c r="F201" s="1582"/>
      <c r="G201" s="1582"/>
      <c r="H201" s="1583"/>
      <c r="I201" s="1582"/>
    </row>
    <row r="202" spans="2:9" ht="16">
      <c r="B202" s="1582"/>
      <c r="C202" s="1582"/>
      <c r="D202" s="1584"/>
      <c r="E202" s="1582"/>
      <c r="F202" s="1582"/>
      <c r="G202" s="1582"/>
      <c r="H202" s="1583"/>
      <c r="I202" s="1582"/>
    </row>
    <row r="203" spans="2:9" ht="16">
      <c r="B203" s="1582"/>
      <c r="C203" s="1582"/>
      <c r="D203" s="1584"/>
      <c r="E203" s="1582"/>
      <c r="F203" s="1582"/>
      <c r="G203" s="1582"/>
      <c r="H203" s="1583"/>
      <c r="I203" s="1582"/>
    </row>
    <row r="204" spans="2:9" ht="16">
      <c r="B204" s="1582"/>
      <c r="C204" s="1582"/>
      <c r="D204" s="1584"/>
      <c r="E204" s="1582"/>
      <c r="F204" s="1582"/>
      <c r="G204" s="1582"/>
      <c r="H204" s="1583"/>
      <c r="I204" s="1582"/>
    </row>
    <row r="205" spans="2:9" ht="16">
      <c r="B205" s="1582"/>
      <c r="C205" s="1582"/>
      <c r="D205" s="1584"/>
      <c r="E205" s="1582"/>
      <c r="F205" s="1582"/>
      <c r="G205" s="1582"/>
      <c r="H205" s="1583"/>
      <c r="I205" s="1582"/>
    </row>
    <row r="206" spans="2:9" ht="16">
      <c r="B206" s="1582"/>
      <c r="C206" s="1582"/>
      <c r="D206" s="1584"/>
      <c r="E206" s="1582"/>
      <c r="F206" s="1582"/>
      <c r="G206" s="1582"/>
      <c r="H206" s="1583"/>
      <c r="I206" s="1582"/>
    </row>
    <row r="207" spans="2:9" ht="16">
      <c r="B207" s="1582"/>
      <c r="C207" s="1582"/>
      <c r="D207" s="1584"/>
      <c r="E207" s="1582"/>
      <c r="F207" s="1582"/>
      <c r="G207" s="1582"/>
      <c r="H207" s="1583"/>
      <c r="I207" s="1582"/>
    </row>
    <row r="208" spans="2:9" ht="16">
      <c r="B208" s="1582"/>
      <c r="C208" s="1582"/>
      <c r="D208" s="1584"/>
      <c r="E208" s="1582"/>
      <c r="F208" s="1582"/>
      <c r="G208" s="1582"/>
      <c r="H208" s="1583"/>
      <c r="I208" s="1582"/>
    </row>
    <row r="209" spans="2:9" ht="16">
      <c r="B209" s="1582"/>
      <c r="C209" s="1582"/>
      <c r="D209" s="1584"/>
      <c r="E209" s="1582"/>
      <c r="F209" s="1582"/>
      <c r="G209" s="1582"/>
      <c r="H209" s="1583"/>
      <c r="I209" s="1582"/>
    </row>
    <row r="210" spans="2:9" ht="16">
      <c r="B210" s="1582"/>
      <c r="C210" s="1582"/>
      <c r="D210" s="1584"/>
      <c r="E210" s="1582"/>
      <c r="F210" s="1582"/>
      <c r="G210" s="1582"/>
      <c r="H210" s="1583"/>
      <c r="I210" s="1582"/>
    </row>
    <row r="211" spans="2:9" ht="16">
      <c r="B211" s="1582"/>
      <c r="C211" s="1582"/>
      <c r="D211" s="1584"/>
      <c r="E211" s="1582"/>
      <c r="F211" s="1582"/>
      <c r="G211" s="1582"/>
      <c r="H211" s="1583"/>
      <c r="I211" s="1582"/>
    </row>
    <row r="212" spans="2:9" ht="16">
      <c r="B212" s="1582"/>
      <c r="C212" s="1582"/>
      <c r="D212" s="1584"/>
      <c r="E212" s="1582"/>
      <c r="F212" s="1582"/>
      <c r="G212" s="1582"/>
      <c r="H212" s="1583"/>
      <c r="I212" s="1582"/>
    </row>
    <row r="213" spans="2:9" ht="16">
      <c r="B213" s="1582"/>
      <c r="C213" s="1582"/>
      <c r="D213" s="1584"/>
      <c r="E213" s="1582"/>
      <c r="F213" s="1582"/>
      <c r="G213" s="1582"/>
      <c r="H213" s="1583"/>
      <c r="I213" s="1582"/>
    </row>
    <row r="214" spans="2:9" ht="16">
      <c r="B214" s="1582"/>
      <c r="C214" s="1582"/>
      <c r="D214" s="1584"/>
      <c r="E214" s="1582"/>
      <c r="F214" s="1582"/>
      <c r="G214" s="1582"/>
      <c r="H214" s="1583"/>
      <c r="I214" s="1582"/>
    </row>
    <row r="215" spans="2:9" ht="16">
      <c r="B215" s="1582"/>
      <c r="C215" s="1582"/>
      <c r="D215" s="1584"/>
      <c r="E215" s="1582"/>
      <c r="F215" s="1582"/>
      <c r="G215" s="1582"/>
      <c r="H215" s="1583"/>
      <c r="I215" s="1582"/>
    </row>
    <row r="216" spans="2:9" ht="16">
      <c r="B216" s="1582"/>
      <c r="C216" s="1582"/>
      <c r="D216" s="1584"/>
      <c r="E216" s="1582"/>
      <c r="F216" s="1582"/>
      <c r="G216" s="1582"/>
      <c r="H216" s="1583"/>
      <c r="I216" s="1582"/>
    </row>
    <row r="217" spans="2:9" ht="16">
      <c r="B217" s="1582"/>
      <c r="C217" s="1582"/>
      <c r="D217" s="1584"/>
      <c r="E217" s="1582"/>
      <c r="F217" s="1582"/>
      <c r="G217" s="1582"/>
      <c r="H217" s="1583"/>
      <c r="I217" s="1582"/>
    </row>
    <row r="218" spans="2:9" ht="16">
      <c r="B218" s="1582"/>
      <c r="C218" s="1582"/>
      <c r="D218" s="1584"/>
      <c r="E218" s="1582"/>
      <c r="F218" s="1582"/>
      <c r="G218" s="1582"/>
      <c r="H218" s="1583"/>
      <c r="I218" s="1582"/>
    </row>
    <row r="219" spans="2:9" ht="16">
      <c r="B219" s="1582"/>
      <c r="C219" s="1582"/>
      <c r="D219" s="1584"/>
      <c r="E219" s="1582"/>
      <c r="F219" s="1582"/>
      <c r="G219" s="1582"/>
      <c r="H219" s="1583"/>
      <c r="I219" s="1582"/>
    </row>
    <row r="220" spans="2:9" ht="16">
      <c r="B220" s="1582"/>
      <c r="C220" s="1582"/>
      <c r="D220" s="1584"/>
      <c r="E220" s="1582"/>
      <c r="F220" s="1582"/>
      <c r="G220" s="1582"/>
      <c r="H220" s="1583"/>
      <c r="I220" s="1582"/>
    </row>
    <row r="221" spans="2:9" ht="16">
      <c r="B221" s="1582"/>
      <c r="C221" s="1582"/>
      <c r="D221" s="1584"/>
      <c r="E221" s="1582"/>
      <c r="F221" s="1582"/>
      <c r="G221" s="1582"/>
      <c r="H221" s="1583"/>
      <c r="I221" s="1582"/>
    </row>
    <row r="222" spans="2:9" ht="16">
      <c r="B222" s="1582"/>
      <c r="C222" s="1582"/>
      <c r="D222" s="1584"/>
      <c r="E222" s="1582"/>
      <c r="F222" s="1582"/>
      <c r="G222" s="1582"/>
      <c r="H222" s="1583"/>
      <c r="I222" s="1582"/>
    </row>
    <row r="223" spans="2:9" ht="16">
      <c r="B223" s="1582"/>
      <c r="C223" s="1582"/>
      <c r="D223" s="1584"/>
      <c r="E223" s="1582"/>
      <c r="F223" s="1582"/>
      <c r="G223" s="1582"/>
      <c r="H223" s="1583"/>
      <c r="I223" s="1582"/>
    </row>
    <row r="224" spans="2:9" ht="16">
      <c r="B224" s="1582"/>
      <c r="C224" s="1582"/>
      <c r="D224" s="1584"/>
      <c r="E224" s="1582"/>
      <c r="F224" s="1582"/>
      <c r="G224" s="1582"/>
      <c r="H224" s="1583"/>
      <c r="I224" s="1582"/>
    </row>
    <row r="225" spans="2:9" ht="16">
      <c r="B225" s="1582"/>
      <c r="C225" s="1582"/>
      <c r="D225" s="1584"/>
      <c r="E225" s="1582"/>
      <c r="F225" s="1582"/>
      <c r="G225" s="1582"/>
      <c r="H225" s="1583"/>
      <c r="I225" s="1582"/>
    </row>
    <row r="226" spans="2:9" ht="16">
      <c r="B226" s="1582"/>
      <c r="C226" s="1582"/>
      <c r="D226" s="1584"/>
      <c r="E226" s="1582"/>
      <c r="F226" s="1582"/>
      <c r="G226" s="1582"/>
      <c r="H226" s="1583"/>
      <c r="I226" s="1582"/>
    </row>
    <row r="227" spans="2:9" ht="16">
      <c r="B227" s="1582"/>
      <c r="C227" s="1582"/>
      <c r="D227" s="1584"/>
      <c r="E227" s="1582"/>
      <c r="F227" s="1582"/>
      <c r="G227" s="1582"/>
      <c r="H227" s="1583"/>
      <c r="I227" s="1582"/>
    </row>
    <row r="228" spans="2:9" ht="16">
      <c r="B228" s="1582"/>
      <c r="C228" s="1582"/>
      <c r="D228" s="1584"/>
      <c r="E228" s="1582"/>
      <c r="F228" s="1582"/>
      <c r="G228" s="1582"/>
      <c r="H228" s="1583"/>
      <c r="I228" s="1582"/>
    </row>
    <row r="229" spans="2:9" ht="16">
      <c r="B229" s="1582"/>
      <c r="C229" s="1582"/>
      <c r="D229" s="1584"/>
      <c r="E229" s="1582"/>
      <c r="F229" s="1582"/>
      <c r="G229" s="1582"/>
      <c r="H229" s="1583"/>
      <c r="I229" s="1582"/>
    </row>
    <row r="230" spans="2:9" ht="16">
      <c r="B230" s="1582"/>
      <c r="C230" s="1582"/>
      <c r="D230" s="1584"/>
      <c r="E230" s="1582"/>
      <c r="F230" s="1582"/>
      <c r="G230" s="1582"/>
      <c r="H230" s="1583"/>
      <c r="I230" s="1582"/>
    </row>
    <row r="231" spans="2:9" ht="16">
      <c r="B231" s="1582"/>
      <c r="C231" s="1582"/>
      <c r="D231" s="1584"/>
      <c r="E231" s="1582"/>
      <c r="F231" s="1582"/>
      <c r="G231" s="1582"/>
      <c r="H231" s="1583"/>
      <c r="I231" s="1582"/>
    </row>
    <row r="232" spans="2:9" ht="16">
      <c r="B232" s="1582"/>
      <c r="C232" s="1582"/>
      <c r="D232" s="1584"/>
      <c r="E232" s="1582"/>
      <c r="F232" s="1582"/>
      <c r="G232" s="1582"/>
      <c r="H232" s="1583"/>
      <c r="I232" s="1582"/>
    </row>
    <row r="233" spans="2:9" ht="16">
      <c r="B233" s="1582"/>
      <c r="C233" s="1582"/>
      <c r="D233" s="1584"/>
      <c r="E233" s="1582"/>
      <c r="F233" s="1582"/>
      <c r="G233" s="1582"/>
      <c r="H233" s="1583"/>
      <c r="I233" s="1582"/>
    </row>
    <row r="234" spans="2:9" ht="16">
      <c r="B234" s="1582"/>
      <c r="C234" s="1582"/>
      <c r="D234" s="1584"/>
      <c r="E234" s="1582"/>
      <c r="F234" s="1582"/>
      <c r="G234" s="1582"/>
      <c r="H234" s="1583"/>
      <c r="I234" s="1582"/>
    </row>
    <row r="235" spans="2:9" ht="16">
      <c r="B235" s="1582"/>
      <c r="C235" s="1582"/>
      <c r="D235" s="1584"/>
      <c r="E235" s="1582"/>
      <c r="F235" s="1582"/>
      <c r="G235" s="1582"/>
      <c r="H235" s="1583"/>
      <c r="I235" s="1582"/>
    </row>
    <row r="236" spans="2:9" ht="16">
      <c r="B236" s="1582"/>
      <c r="C236" s="1582"/>
      <c r="D236" s="1584"/>
      <c r="E236" s="1582"/>
      <c r="F236" s="1582"/>
      <c r="G236" s="1582"/>
      <c r="H236" s="1583"/>
      <c r="I236" s="1582"/>
    </row>
    <row r="237" spans="2:9" ht="16">
      <c r="B237" s="1582"/>
      <c r="C237" s="1582"/>
      <c r="D237" s="1584"/>
      <c r="E237" s="1582"/>
      <c r="F237" s="1582"/>
      <c r="G237" s="1582"/>
      <c r="H237" s="1583"/>
      <c r="I237" s="1582"/>
    </row>
    <row r="238" spans="2:9" ht="16">
      <c r="B238" s="1582"/>
      <c r="C238" s="1582"/>
      <c r="D238" s="1584"/>
      <c r="E238" s="1582"/>
      <c r="F238" s="1582"/>
      <c r="G238" s="1582"/>
      <c r="H238" s="1583"/>
      <c r="I238" s="1582"/>
    </row>
    <row r="239" spans="2:9" ht="16">
      <c r="B239" s="1582"/>
      <c r="C239" s="1582"/>
      <c r="D239" s="1584"/>
      <c r="E239" s="1582"/>
      <c r="F239" s="1582"/>
      <c r="G239" s="1582"/>
      <c r="H239" s="1583"/>
      <c r="I239" s="1582"/>
    </row>
    <row r="240" spans="2:9" ht="16">
      <c r="B240" s="1582"/>
      <c r="C240" s="1582"/>
      <c r="D240" s="1584"/>
      <c r="E240" s="1582"/>
      <c r="F240" s="1582"/>
      <c r="G240" s="1582"/>
      <c r="H240" s="1583"/>
      <c r="I240" s="1582"/>
    </row>
    <row r="241" spans="2:9" ht="16">
      <c r="B241" s="1582"/>
      <c r="C241" s="1582"/>
      <c r="D241" s="1584"/>
      <c r="E241" s="1582"/>
      <c r="F241" s="1582"/>
      <c r="G241" s="1582"/>
      <c r="H241" s="1583"/>
      <c r="I241" s="1582"/>
    </row>
    <row r="242" spans="2:9" ht="16">
      <c r="B242" s="1582"/>
      <c r="C242" s="1582"/>
      <c r="D242" s="1584"/>
      <c r="E242" s="1582"/>
      <c r="F242" s="1582"/>
      <c r="G242" s="1582"/>
      <c r="H242" s="1583"/>
      <c r="I242" s="1582"/>
    </row>
    <row r="243" spans="2:9" ht="16">
      <c r="B243" s="1582"/>
      <c r="C243" s="1582"/>
      <c r="D243" s="1584"/>
      <c r="E243" s="1582"/>
      <c r="F243" s="1582"/>
      <c r="G243" s="1582"/>
      <c r="H243" s="1583"/>
      <c r="I243" s="1582"/>
    </row>
    <row r="244" spans="2:9" ht="16">
      <c r="B244" s="1582"/>
      <c r="C244" s="1582"/>
      <c r="D244" s="1584"/>
      <c r="E244" s="1582"/>
      <c r="F244" s="1582"/>
      <c r="G244" s="1582"/>
      <c r="H244" s="1583"/>
      <c r="I244" s="1582"/>
    </row>
    <row r="245" spans="2:9" ht="16">
      <c r="B245" s="1582"/>
      <c r="C245" s="1582"/>
      <c r="D245" s="1584"/>
      <c r="E245" s="1582"/>
      <c r="F245" s="1582"/>
      <c r="G245" s="1582"/>
      <c r="H245" s="1583"/>
      <c r="I245" s="1582"/>
    </row>
    <row r="246" spans="2:9" ht="16">
      <c r="B246" s="1582"/>
      <c r="C246" s="1582"/>
      <c r="D246" s="1584"/>
      <c r="E246" s="1582"/>
      <c r="F246" s="1582"/>
      <c r="G246" s="1582"/>
      <c r="H246" s="1583"/>
      <c r="I246" s="1582"/>
    </row>
    <row r="247" spans="2:9" ht="16">
      <c r="B247" s="1582"/>
      <c r="C247" s="1582"/>
      <c r="D247" s="1584"/>
      <c r="E247" s="1582"/>
      <c r="F247" s="1582"/>
      <c r="G247" s="1582"/>
      <c r="H247" s="1583"/>
      <c r="I247" s="1582"/>
    </row>
    <row r="248" spans="2:9" ht="16">
      <c r="B248" s="1582"/>
      <c r="C248" s="1582"/>
      <c r="D248" s="1584"/>
      <c r="E248" s="1582"/>
      <c r="F248" s="1582"/>
      <c r="G248" s="1582"/>
      <c r="H248" s="1583"/>
      <c r="I248" s="1582"/>
    </row>
    <row r="249" spans="2:9" ht="16">
      <c r="B249" s="1582"/>
      <c r="C249" s="1582"/>
      <c r="D249" s="1584"/>
      <c r="E249" s="1582"/>
      <c r="F249" s="1582"/>
      <c r="G249" s="1582"/>
      <c r="H249" s="1583"/>
      <c r="I249" s="1582"/>
    </row>
    <row r="250" spans="2:9" ht="16">
      <c r="B250" s="1582"/>
      <c r="C250" s="1582"/>
      <c r="D250" s="1584"/>
      <c r="E250" s="1582"/>
      <c r="F250" s="1582"/>
      <c r="G250" s="1582"/>
      <c r="H250" s="1583"/>
      <c r="I250" s="1582"/>
    </row>
    <row r="251" spans="2:9" ht="16">
      <c r="B251" s="1582"/>
      <c r="C251" s="1582"/>
      <c r="D251" s="1584"/>
      <c r="E251" s="1582"/>
      <c r="F251" s="1582"/>
      <c r="G251" s="1582"/>
      <c r="H251" s="1583"/>
      <c r="I251" s="1582"/>
    </row>
    <row r="252" spans="2:9" ht="16">
      <c r="B252" s="1582"/>
      <c r="C252" s="1582"/>
      <c r="D252" s="1584"/>
      <c r="E252" s="1582"/>
      <c r="F252" s="1582"/>
      <c r="G252" s="1582"/>
      <c r="H252" s="1583"/>
      <c r="I252" s="1582"/>
    </row>
    <row r="253" spans="2:9" ht="16">
      <c r="B253" s="1582"/>
      <c r="C253" s="1582"/>
      <c r="D253" s="1584"/>
      <c r="E253" s="1582"/>
      <c r="F253" s="1582"/>
      <c r="G253" s="1582"/>
      <c r="H253" s="1583"/>
      <c r="I253" s="1582"/>
    </row>
    <row r="254" spans="2:9" ht="16">
      <c r="B254" s="1582"/>
      <c r="C254" s="1582"/>
      <c r="D254" s="1584"/>
      <c r="E254" s="1582"/>
      <c r="F254" s="1582"/>
      <c r="G254" s="1582"/>
      <c r="H254" s="1583"/>
      <c r="I254" s="1582"/>
    </row>
    <row r="255" spans="2:9" ht="16">
      <c r="B255" s="1582"/>
      <c r="C255" s="1582"/>
      <c r="D255" s="1584"/>
      <c r="E255" s="1582"/>
      <c r="F255" s="1582"/>
      <c r="G255" s="1582"/>
      <c r="H255" s="1583"/>
      <c r="I255" s="1582"/>
    </row>
    <row r="256" spans="2:9" ht="16">
      <c r="B256" s="1582"/>
      <c r="C256" s="1582"/>
      <c r="D256" s="1584"/>
      <c r="E256" s="1582"/>
      <c r="F256" s="1582"/>
      <c r="G256" s="1582"/>
      <c r="H256" s="1583"/>
      <c r="I256" s="1582"/>
    </row>
    <row r="257" spans="2:9" ht="16">
      <c r="B257" s="1582"/>
      <c r="C257" s="1582"/>
      <c r="D257" s="1584"/>
      <c r="E257" s="1582"/>
      <c r="F257" s="1582"/>
      <c r="G257" s="1582"/>
      <c r="H257" s="1583"/>
      <c r="I257" s="1582"/>
    </row>
    <row r="258" spans="2:9" ht="16">
      <c r="B258" s="1582"/>
      <c r="C258" s="1582"/>
      <c r="D258" s="1584"/>
      <c r="E258" s="1582"/>
      <c r="F258" s="1582"/>
      <c r="G258" s="1582"/>
      <c r="H258" s="1583"/>
      <c r="I258" s="1582"/>
    </row>
    <row r="259" spans="2:9" ht="16">
      <c r="B259" s="1582"/>
      <c r="C259" s="1582"/>
      <c r="D259" s="1584"/>
      <c r="E259" s="1582"/>
      <c r="F259" s="1582"/>
      <c r="G259" s="1582"/>
      <c r="H259" s="1583"/>
      <c r="I259" s="1582"/>
    </row>
    <row r="260" spans="2:9" ht="16">
      <c r="B260" s="1582"/>
      <c r="C260" s="1582"/>
      <c r="D260" s="1584"/>
      <c r="E260" s="1582"/>
      <c r="F260" s="1582"/>
      <c r="G260" s="1582"/>
      <c r="H260" s="1583"/>
      <c r="I260" s="1582"/>
    </row>
    <row r="261" spans="2:9" ht="16">
      <c r="B261" s="1582"/>
      <c r="C261" s="1582"/>
      <c r="D261" s="1584"/>
      <c r="E261" s="1582"/>
      <c r="F261" s="1582"/>
      <c r="G261" s="1582"/>
      <c r="H261" s="1583"/>
      <c r="I261" s="1582"/>
    </row>
    <row r="262" spans="2:9" ht="16">
      <c r="B262" s="1582"/>
      <c r="C262" s="1582"/>
      <c r="D262" s="1584"/>
      <c r="E262" s="1582"/>
      <c r="F262" s="1582"/>
      <c r="G262" s="1582"/>
      <c r="H262" s="1583"/>
      <c r="I262" s="1582"/>
    </row>
    <row r="263" spans="2:9" ht="16">
      <c r="B263" s="1582"/>
      <c r="C263" s="1582"/>
      <c r="D263" s="1584"/>
      <c r="E263" s="1582"/>
      <c r="F263" s="1582"/>
      <c r="G263" s="1582"/>
      <c r="H263" s="1583"/>
      <c r="I263" s="1582"/>
    </row>
    <row r="264" spans="2:9" ht="16">
      <c r="B264" s="1582"/>
      <c r="C264" s="1582"/>
      <c r="D264" s="1584"/>
      <c r="E264" s="1582"/>
      <c r="F264" s="1582"/>
      <c r="G264" s="1582"/>
      <c r="H264" s="1583"/>
      <c r="I264" s="1582"/>
    </row>
    <row r="265" spans="2:9" ht="16">
      <c r="B265" s="1582"/>
      <c r="C265" s="1582"/>
      <c r="D265" s="1584"/>
      <c r="E265" s="1582"/>
      <c r="F265" s="1582"/>
      <c r="G265" s="1582"/>
      <c r="H265" s="1583"/>
      <c r="I265" s="1582"/>
    </row>
    <row r="266" spans="2:9" ht="16">
      <c r="B266" s="1582"/>
      <c r="C266" s="1582"/>
      <c r="D266" s="1584"/>
      <c r="E266" s="1582"/>
      <c r="F266" s="1582"/>
      <c r="G266" s="1582"/>
      <c r="H266" s="1583"/>
      <c r="I266" s="1582"/>
    </row>
    <row r="267" spans="2:9" ht="16">
      <c r="B267" s="1582"/>
      <c r="C267" s="1582"/>
      <c r="D267" s="1584"/>
      <c r="E267" s="1582"/>
      <c r="F267" s="1582"/>
      <c r="G267" s="1582"/>
      <c r="H267" s="1583"/>
      <c r="I267" s="1582"/>
    </row>
    <row r="268" spans="2:9" ht="16">
      <c r="B268" s="1582"/>
      <c r="C268" s="1582"/>
      <c r="D268" s="1584"/>
      <c r="E268" s="1582"/>
      <c r="F268" s="1582"/>
      <c r="G268" s="1582"/>
      <c r="H268" s="1583"/>
      <c r="I268" s="1582"/>
    </row>
    <row r="269" spans="2:9" ht="16">
      <c r="B269" s="1582"/>
      <c r="C269" s="1582"/>
      <c r="D269" s="1584"/>
      <c r="E269" s="1582"/>
      <c r="F269" s="1582"/>
      <c r="G269" s="1582"/>
      <c r="H269" s="1583"/>
      <c r="I269" s="1582"/>
    </row>
    <row r="270" spans="2:9" ht="16">
      <c r="B270" s="1582"/>
      <c r="C270" s="1582"/>
      <c r="D270" s="1584"/>
      <c r="E270" s="1582"/>
      <c r="F270" s="1582"/>
      <c r="G270" s="1582"/>
      <c r="H270" s="1583"/>
      <c r="I270" s="1582"/>
    </row>
    <row r="271" spans="2:9" ht="16">
      <c r="B271" s="1582"/>
      <c r="C271" s="1582"/>
      <c r="D271" s="1584"/>
      <c r="E271" s="1582"/>
      <c r="F271" s="1582"/>
      <c r="G271" s="1582"/>
      <c r="H271" s="1583"/>
      <c r="I271" s="1582"/>
    </row>
    <row r="272" spans="2:9" ht="16">
      <c r="B272" s="1582"/>
      <c r="C272" s="1582"/>
      <c r="D272" s="1584"/>
      <c r="E272" s="1582"/>
      <c r="F272" s="1582"/>
      <c r="G272" s="1582"/>
      <c r="H272" s="1583"/>
      <c r="I272" s="1582"/>
    </row>
    <row r="273" spans="2:9" ht="16">
      <c r="B273" s="1582"/>
      <c r="C273" s="1582"/>
      <c r="D273" s="1584"/>
      <c r="E273" s="1582"/>
      <c r="F273" s="1582"/>
      <c r="G273" s="1582"/>
      <c r="H273" s="1583"/>
      <c r="I273" s="1582"/>
    </row>
    <row r="274" spans="2:9" ht="16">
      <c r="B274" s="1582"/>
      <c r="C274" s="1582"/>
      <c r="D274" s="1584"/>
      <c r="E274" s="1582"/>
      <c r="F274" s="1582"/>
      <c r="G274" s="1582"/>
      <c r="H274" s="1583"/>
      <c r="I274" s="1582"/>
    </row>
    <row r="275" spans="2:9" ht="16">
      <c r="B275" s="1582"/>
      <c r="C275" s="1582"/>
      <c r="D275" s="1584"/>
      <c r="E275" s="1582"/>
      <c r="F275" s="1582"/>
      <c r="G275" s="1582"/>
      <c r="H275" s="1583"/>
      <c r="I275" s="1582"/>
    </row>
    <row r="276" spans="2:9" ht="16">
      <c r="B276" s="1582"/>
      <c r="C276" s="1582"/>
      <c r="D276" s="1584"/>
      <c r="E276" s="1582"/>
      <c r="F276" s="1582"/>
      <c r="G276" s="1582"/>
      <c r="H276" s="1583"/>
      <c r="I276" s="1582"/>
    </row>
    <row r="277" spans="2:9" ht="16">
      <c r="B277" s="1582"/>
      <c r="C277" s="1582"/>
      <c r="D277" s="1584"/>
      <c r="E277" s="1582"/>
      <c r="F277" s="1582"/>
      <c r="G277" s="1582"/>
      <c r="H277" s="1583"/>
      <c r="I277" s="1582"/>
    </row>
    <row r="278" spans="2:9" ht="16">
      <c r="B278" s="1582"/>
      <c r="C278" s="1582"/>
      <c r="D278" s="1584"/>
      <c r="E278" s="1582"/>
      <c r="F278" s="1582"/>
      <c r="G278" s="1582"/>
      <c r="H278" s="1583"/>
      <c r="I278" s="1582"/>
    </row>
    <row r="279" spans="2:9" ht="16">
      <c r="B279" s="1582"/>
      <c r="C279" s="1582"/>
      <c r="D279" s="1584"/>
      <c r="E279" s="1582"/>
      <c r="F279" s="1582"/>
      <c r="G279" s="1582"/>
      <c r="H279" s="1583"/>
      <c r="I279" s="1582"/>
    </row>
    <row r="280" spans="2:9" ht="16">
      <c r="B280" s="1582"/>
      <c r="C280" s="1582"/>
      <c r="D280" s="1584"/>
      <c r="E280" s="1582"/>
      <c r="F280" s="1582"/>
      <c r="G280" s="1582"/>
      <c r="H280" s="1583"/>
      <c r="I280" s="1582"/>
    </row>
    <row r="281" spans="2:9" ht="16">
      <c r="B281" s="1582"/>
      <c r="C281" s="1582"/>
      <c r="D281" s="1584"/>
      <c r="E281" s="1582"/>
      <c r="F281" s="1582"/>
      <c r="G281" s="1582"/>
      <c r="H281" s="1583"/>
      <c r="I281" s="1582"/>
    </row>
    <row r="282" spans="2:9" ht="16">
      <c r="B282" s="1582"/>
      <c r="C282" s="1582"/>
      <c r="D282" s="1584"/>
      <c r="E282" s="1582"/>
      <c r="F282" s="1582"/>
      <c r="G282" s="1582"/>
      <c r="H282" s="1583"/>
      <c r="I282" s="1582"/>
    </row>
    <row r="283" spans="2:9" ht="16">
      <c r="B283" s="1582"/>
      <c r="C283" s="1582"/>
      <c r="D283" s="1584"/>
      <c r="E283" s="1582"/>
      <c r="F283" s="1582"/>
      <c r="G283" s="1582"/>
      <c r="H283" s="1583"/>
      <c r="I283" s="1582"/>
    </row>
    <row r="284" spans="2:9" ht="16">
      <c r="B284" s="1582"/>
      <c r="C284" s="1582"/>
      <c r="D284" s="1584"/>
      <c r="E284" s="1582"/>
      <c r="F284" s="1582"/>
      <c r="G284" s="1582"/>
      <c r="H284" s="1583"/>
      <c r="I284" s="1582"/>
    </row>
    <row r="285" spans="2:9" ht="16">
      <c r="B285" s="1582"/>
      <c r="C285" s="1582"/>
      <c r="D285" s="1584"/>
      <c r="E285" s="1582"/>
      <c r="F285" s="1582"/>
      <c r="G285" s="1582"/>
      <c r="H285" s="1583"/>
      <c r="I285" s="1582"/>
    </row>
    <row r="286" spans="2:9" ht="16">
      <c r="B286" s="1582"/>
      <c r="C286" s="1582"/>
      <c r="D286" s="1584"/>
      <c r="E286" s="1582"/>
      <c r="F286" s="1582"/>
      <c r="G286" s="1582"/>
      <c r="H286" s="1583"/>
      <c r="I286" s="1582"/>
    </row>
    <row r="287" spans="2:9" ht="16">
      <c r="B287" s="1582"/>
      <c r="C287" s="1582"/>
      <c r="D287" s="1584"/>
      <c r="E287" s="1582"/>
      <c r="F287" s="1582"/>
      <c r="G287" s="1582"/>
      <c r="H287" s="1583"/>
      <c r="I287" s="1582"/>
    </row>
    <row r="288" spans="2:9" ht="16">
      <c r="B288" s="1582"/>
      <c r="C288" s="1582"/>
      <c r="D288" s="1584"/>
      <c r="E288" s="1582"/>
      <c r="F288" s="1582"/>
      <c r="G288" s="1582"/>
      <c r="H288" s="1583"/>
      <c r="I288" s="1582"/>
    </row>
    <row r="289" spans="2:9" ht="16">
      <c r="B289" s="1582"/>
      <c r="C289" s="1582"/>
      <c r="D289" s="1584"/>
      <c r="E289" s="1582"/>
      <c r="F289" s="1582"/>
      <c r="G289" s="1582"/>
      <c r="H289" s="1583"/>
      <c r="I289" s="1582"/>
    </row>
    <row r="290" spans="2:9" ht="16">
      <c r="B290" s="1582"/>
      <c r="C290" s="1582"/>
      <c r="D290" s="1584"/>
      <c r="E290" s="1582"/>
      <c r="F290" s="1582"/>
      <c r="G290" s="1582"/>
      <c r="H290" s="1583"/>
      <c r="I290" s="1582"/>
    </row>
    <row r="291" spans="2:9" ht="16">
      <c r="B291" s="1582"/>
      <c r="C291" s="1582"/>
      <c r="D291" s="1584"/>
      <c r="E291" s="1582"/>
      <c r="F291" s="1582"/>
      <c r="G291" s="1582"/>
      <c r="H291" s="1583"/>
      <c r="I291" s="1582"/>
    </row>
    <row r="292" spans="2:9" ht="16">
      <c r="B292" s="1582"/>
      <c r="C292" s="1582"/>
      <c r="D292" s="1584"/>
      <c r="E292" s="1582"/>
      <c r="F292" s="1582"/>
      <c r="G292" s="1582"/>
      <c r="H292" s="1583"/>
      <c r="I292" s="1582"/>
    </row>
    <row r="293" spans="2:9" ht="16">
      <c r="B293" s="1582"/>
      <c r="C293" s="1582"/>
      <c r="D293" s="1584"/>
      <c r="E293" s="1582"/>
      <c r="F293" s="1582"/>
      <c r="G293" s="1582"/>
      <c r="H293" s="1583"/>
      <c r="I293" s="1582"/>
    </row>
    <row r="294" spans="2:9" ht="16">
      <c r="B294" s="1582"/>
      <c r="C294" s="1582"/>
      <c r="D294" s="1584"/>
      <c r="E294" s="1582"/>
      <c r="F294" s="1582"/>
      <c r="G294" s="1582"/>
      <c r="H294" s="1583"/>
      <c r="I294" s="1582"/>
    </row>
    <row r="295" spans="2:9" ht="16">
      <c r="B295" s="1582"/>
      <c r="C295" s="1582"/>
      <c r="D295" s="1584"/>
      <c r="E295" s="1582"/>
      <c r="F295" s="1582"/>
      <c r="G295" s="1582"/>
      <c r="H295" s="1583"/>
      <c r="I295" s="1582"/>
    </row>
    <row r="296" spans="2:9" ht="16">
      <c r="B296" s="1582"/>
      <c r="C296" s="1582"/>
      <c r="D296" s="1584"/>
      <c r="E296" s="1582"/>
      <c r="F296" s="1582"/>
      <c r="G296" s="1582"/>
      <c r="H296" s="1583"/>
      <c r="I296" s="1582"/>
    </row>
    <row r="297" spans="2:9" ht="16">
      <c r="B297" s="1582"/>
      <c r="C297" s="1582"/>
      <c r="D297" s="1584"/>
      <c r="E297" s="1582"/>
      <c r="F297" s="1582"/>
      <c r="G297" s="1582"/>
      <c r="H297" s="1583"/>
      <c r="I297" s="1582"/>
    </row>
    <row r="298" spans="2:9" ht="16">
      <c r="B298" s="1582"/>
      <c r="C298" s="1582"/>
      <c r="D298" s="1584"/>
      <c r="E298" s="1582"/>
      <c r="F298" s="1582"/>
      <c r="G298" s="1582"/>
      <c r="H298" s="1583"/>
      <c r="I298" s="1582"/>
    </row>
    <row r="299" spans="2:9" ht="16">
      <c r="B299" s="1582"/>
      <c r="C299" s="1582"/>
      <c r="D299" s="1584"/>
      <c r="E299" s="1582"/>
      <c r="F299" s="1582"/>
      <c r="G299" s="1582"/>
      <c r="H299" s="1583"/>
      <c r="I299" s="1582"/>
    </row>
    <row r="300" spans="2:9" ht="16">
      <c r="B300" s="1582"/>
      <c r="C300" s="1582"/>
      <c r="D300" s="1584"/>
      <c r="E300" s="1582"/>
      <c r="F300" s="1582"/>
      <c r="G300" s="1582"/>
      <c r="H300" s="1583"/>
      <c r="I300" s="1582"/>
    </row>
    <row r="301" spans="2:9" ht="16">
      <c r="B301" s="1582"/>
      <c r="C301" s="1582"/>
      <c r="D301" s="1584"/>
      <c r="E301" s="1582"/>
      <c r="F301" s="1582"/>
      <c r="G301" s="1582"/>
      <c r="H301" s="1583"/>
      <c r="I301" s="1582"/>
    </row>
    <row r="302" spans="2:9" ht="16">
      <c r="B302" s="1582"/>
      <c r="C302" s="1582"/>
      <c r="D302" s="1584"/>
      <c r="E302" s="1582"/>
      <c r="F302" s="1582"/>
      <c r="G302" s="1582"/>
      <c r="H302" s="1583"/>
      <c r="I302" s="1582"/>
    </row>
    <row r="303" spans="2:9" ht="16">
      <c r="B303" s="1582"/>
      <c r="C303" s="1582"/>
      <c r="D303" s="1584"/>
      <c r="E303" s="1582"/>
      <c r="F303" s="1582"/>
      <c r="G303" s="1582"/>
      <c r="H303" s="1583"/>
      <c r="I303" s="1582"/>
    </row>
    <row r="304" spans="2:9" ht="16">
      <c r="B304" s="1582"/>
      <c r="C304" s="1582"/>
      <c r="D304" s="1584"/>
      <c r="E304" s="1582"/>
      <c r="F304" s="1582"/>
      <c r="G304" s="1582"/>
      <c r="H304" s="1583"/>
      <c r="I304" s="1582"/>
    </row>
    <row r="305" spans="2:9" ht="16">
      <c r="B305" s="1582"/>
      <c r="C305" s="1582"/>
      <c r="D305" s="1584"/>
      <c r="E305" s="1582"/>
      <c r="F305" s="1582"/>
      <c r="G305" s="1582"/>
      <c r="H305" s="1583"/>
      <c r="I305" s="1582"/>
    </row>
    <row r="306" spans="2:9" ht="16">
      <c r="B306" s="1582"/>
      <c r="C306" s="1582"/>
      <c r="D306" s="1584"/>
      <c r="E306" s="1582"/>
      <c r="F306" s="1582"/>
      <c r="G306" s="1582"/>
      <c r="H306" s="1583"/>
      <c r="I306" s="1582"/>
    </row>
    <row r="307" spans="2:9" ht="16">
      <c r="B307" s="1582"/>
      <c r="C307" s="1582"/>
      <c r="D307" s="1584"/>
      <c r="E307" s="1582"/>
      <c r="F307" s="1582"/>
      <c r="G307" s="1582"/>
      <c r="H307" s="1583"/>
      <c r="I307" s="1582"/>
    </row>
    <row r="308" spans="2:9" ht="16">
      <c r="B308" s="1582"/>
      <c r="C308" s="1582"/>
      <c r="D308" s="1584"/>
      <c r="E308" s="1582"/>
      <c r="F308" s="1582"/>
      <c r="G308" s="1582"/>
      <c r="H308" s="1583"/>
      <c r="I308" s="1582"/>
    </row>
    <row r="309" spans="2:9" ht="16">
      <c r="B309" s="1582"/>
      <c r="C309" s="1582"/>
      <c r="D309" s="1584"/>
      <c r="E309" s="1582"/>
      <c r="F309" s="1582"/>
      <c r="G309" s="1582"/>
      <c r="H309" s="1583"/>
      <c r="I309" s="1582"/>
    </row>
    <row r="310" spans="2:9" ht="16">
      <c r="B310" s="1582"/>
      <c r="C310" s="1582"/>
      <c r="D310" s="1584"/>
      <c r="E310" s="1582"/>
      <c r="F310" s="1582"/>
      <c r="G310" s="1582"/>
      <c r="H310" s="1583"/>
      <c r="I310" s="1582"/>
    </row>
    <row r="311" spans="2:9" ht="16">
      <c r="B311" s="1582"/>
      <c r="C311" s="1582"/>
      <c r="D311" s="1584"/>
      <c r="E311" s="1582"/>
      <c r="F311" s="1582"/>
      <c r="G311" s="1582"/>
      <c r="H311" s="1583"/>
      <c r="I311" s="1582"/>
    </row>
    <row r="312" spans="2:9" ht="16">
      <c r="B312" s="1582"/>
      <c r="C312" s="1582"/>
      <c r="D312" s="1584"/>
      <c r="E312" s="1582"/>
      <c r="F312" s="1582"/>
      <c r="G312" s="1582"/>
      <c r="H312" s="1583"/>
      <c r="I312" s="1582"/>
    </row>
    <row r="313" spans="2:9" ht="16">
      <c r="B313" s="1582"/>
      <c r="C313" s="1582"/>
      <c r="D313" s="1584"/>
      <c r="E313" s="1582"/>
      <c r="F313" s="1582"/>
      <c r="G313" s="1582"/>
      <c r="H313" s="1583"/>
      <c r="I313" s="1582"/>
    </row>
    <row r="314" spans="2:9" ht="16">
      <c r="B314" s="1582"/>
      <c r="C314" s="1582"/>
      <c r="D314" s="1584"/>
      <c r="E314" s="1582"/>
      <c r="F314" s="1582"/>
      <c r="G314" s="1582"/>
      <c r="H314" s="1583"/>
      <c r="I314" s="1582"/>
    </row>
    <row r="315" spans="2:9" ht="16">
      <c r="B315" s="1582"/>
      <c r="C315" s="1582"/>
      <c r="D315" s="1584"/>
      <c r="E315" s="1582"/>
      <c r="F315" s="1582"/>
      <c r="G315" s="1582"/>
      <c r="H315" s="1583"/>
      <c r="I315" s="1582"/>
    </row>
    <row r="316" spans="2:9" ht="16">
      <c r="B316" s="1582"/>
      <c r="C316" s="1582"/>
      <c r="D316" s="1584"/>
      <c r="E316" s="1582"/>
      <c r="F316" s="1582"/>
      <c r="G316" s="1582"/>
      <c r="H316" s="1583"/>
      <c r="I316" s="1582"/>
    </row>
    <row r="317" spans="2:9" ht="16">
      <c r="B317" s="1582"/>
      <c r="C317" s="1582"/>
      <c r="D317" s="1584"/>
      <c r="E317" s="1582"/>
      <c r="F317" s="1582"/>
      <c r="G317" s="1582"/>
      <c r="H317" s="1583"/>
      <c r="I317" s="1582"/>
    </row>
    <row r="318" spans="2:9" ht="16">
      <c r="B318" s="1582"/>
      <c r="C318" s="1582"/>
      <c r="D318" s="1584"/>
      <c r="E318" s="1582"/>
      <c r="F318" s="1582"/>
      <c r="G318" s="1582"/>
      <c r="H318" s="1583"/>
      <c r="I318" s="1582"/>
    </row>
    <row r="319" spans="2:9" ht="16">
      <c r="B319" s="1582"/>
      <c r="C319" s="1582"/>
      <c r="D319" s="1584"/>
      <c r="E319" s="1582"/>
      <c r="F319" s="1582"/>
      <c r="G319" s="1582"/>
      <c r="H319" s="1583"/>
      <c r="I319" s="1582"/>
    </row>
    <row r="320" spans="2:9" ht="16">
      <c r="B320" s="1582"/>
      <c r="C320" s="1582"/>
      <c r="D320" s="1584"/>
      <c r="E320" s="1582"/>
      <c r="F320" s="1582"/>
      <c r="G320" s="1582"/>
      <c r="H320" s="1583"/>
      <c r="I320" s="1582"/>
    </row>
    <row r="321" spans="2:9" ht="16">
      <c r="B321" s="1582"/>
      <c r="C321" s="1582"/>
      <c r="D321" s="1584"/>
      <c r="E321" s="1582"/>
      <c r="F321" s="1582"/>
      <c r="G321" s="1582"/>
      <c r="H321" s="1583"/>
      <c r="I321" s="1582"/>
    </row>
    <row r="322" spans="2:9" ht="16">
      <c r="B322" s="1582"/>
      <c r="C322" s="1582"/>
      <c r="D322" s="1584"/>
      <c r="E322" s="1582"/>
      <c r="F322" s="1582"/>
      <c r="G322" s="1582"/>
      <c r="H322" s="1583"/>
      <c r="I322" s="1582"/>
    </row>
    <row r="323" spans="2:9" ht="16">
      <c r="B323" s="1582"/>
      <c r="C323" s="1582"/>
      <c r="D323" s="1584"/>
      <c r="E323" s="1582"/>
      <c r="F323" s="1582"/>
      <c r="G323" s="1582"/>
      <c r="H323" s="1583"/>
      <c r="I323" s="1582"/>
    </row>
    <row r="324" spans="2:9" ht="16">
      <c r="B324" s="1582"/>
      <c r="C324" s="1582"/>
      <c r="D324" s="1584"/>
      <c r="E324" s="1582"/>
      <c r="F324" s="1582"/>
      <c r="G324" s="1582"/>
      <c r="H324" s="1583"/>
      <c r="I324" s="1582"/>
    </row>
    <row r="325" spans="2:9" ht="16">
      <c r="B325" s="1582"/>
      <c r="C325" s="1582"/>
      <c r="D325" s="1584"/>
      <c r="E325" s="1582"/>
      <c r="F325" s="1582"/>
      <c r="G325" s="1582"/>
      <c r="H325" s="1583"/>
      <c r="I325" s="1582"/>
    </row>
    <row r="326" spans="2:9" ht="16">
      <c r="B326" s="1582"/>
      <c r="C326" s="1582"/>
      <c r="D326" s="1584"/>
      <c r="E326" s="1582"/>
      <c r="F326" s="1582"/>
      <c r="G326" s="1582"/>
      <c r="H326" s="1583"/>
      <c r="I326" s="1582"/>
    </row>
    <row r="327" spans="2:9" ht="16">
      <c r="B327" s="1582"/>
      <c r="C327" s="1582"/>
      <c r="D327" s="1584"/>
      <c r="E327" s="1582"/>
      <c r="F327" s="1582"/>
      <c r="G327" s="1582"/>
      <c r="H327" s="1583"/>
      <c r="I327" s="1582"/>
    </row>
    <row r="328" spans="2:9" ht="16">
      <c r="B328" s="1582"/>
      <c r="C328" s="1582"/>
      <c r="D328" s="1584"/>
      <c r="E328" s="1582"/>
      <c r="F328" s="1582"/>
      <c r="G328" s="1582"/>
      <c r="H328" s="1583"/>
      <c r="I328" s="1582"/>
    </row>
    <row r="329" spans="2:9" ht="16">
      <c r="B329" s="1582"/>
      <c r="C329" s="1582"/>
      <c r="D329" s="1584"/>
      <c r="E329" s="1582"/>
      <c r="F329" s="1582"/>
      <c r="G329" s="1582"/>
      <c r="H329" s="1583"/>
      <c r="I329" s="1582"/>
    </row>
    <row r="330" spans="2:9" ht="16">
      <c r="B330" s="1582"/>
      <c r="C330" s="1582"/>
      <c r="D330" s="1584"/>
      <c r="E330" s="1582"/>
      <c r="F330" s="1582"/>
      <c r="G330" s="1582"/>
      <c r="H330" s="1583"/>
      <c r="I330" s="1582"/>
    </row>
    <row r="331" spans="2:9" ht="16">
      <c r="B331" s="1582"/>
      <c r="C331" s="1582"/>
      <c r="D331" s="1584"/>
      <c r="E331" s="1582"/>
      <c r="F331" s="1582"/>
      <c r="G331" s="1582"/>
      <c r="H331" s="1583"/>
      <c r="I331" s="1582"/>
    </row>
    <row r="332" spans="2:9" ht="16">
      <c r="B332" s="1582"/>
      <c r="C332" s="1582"/>
      <c r="D332" s="1584"/>
      <c r="E332" s="1582"/>
      <c r="F332" s="1582"/>
      <c r="G332" s="1582"/>
      <c r="H332" s="1583"/>
      <c r="I332" s="1582"/>
    </row>
    <row r="333" spans="2:9" ht="16">
      <c r="B333" s="1582"/>
      <c r="C333" s="1582"/>
      <c r="D333" s="1584"/>
      <c r="E333" s="1582"/>
      <c r="F333" s="1582"/>
      <c r="G333" s="1582"/>
      <c r="H333" s="1583"/>
      <c r="I333" s="1582"/>
    </row>
    <row r="334" spans="2:9" ht="16">
      <c r="B334" s="1582"/>
      <c r="C334" s="1582"/>
      <c r="D334" s="1584"/>
      <c r="E334" s="1582"/>
      <c r="F334" s="1582"/>
      <c r="G334" s="1582"/>
      <c r="H334" s="1583"/>
      <c r="I334" s="1582"/>
    </row>
    <row r="335" spans="2:9" ht="16">
      <c r="B335" s="1582"/>
      <c r="C335" s="1582"/>
      <c r="D335" s="1584"/>
      <c r="E335" s="1582"/>
      <c r="F335" s="1582"/>
      <c r="G335" s="1582"/>
      <c r="H335" s="1583"/>
      <c r="I335" s="1582"/>
    </row>
    <row r="336" spans="2:9" ht="16">
      <c r="B336" s="1582"/>
      <c r="C336" s="1582"/>
      <c r="D336" s="1584"/>
      <c r="E336" s="1582"/>
      <c r="F336" s="1582"/>
      <c r="G336" s="1582"/>
      <c r="H336" s="1583"/>
      <c r="I336" s="1582"/>
    </row>
    <row r="337" spans="2:9" ht="16">
      <c r="B337" s="1582"/>
      <c r="C337" s="1582"/>
      <c r="D337" s="1584"/>
      <c r="E337" s="1582"/>
      <c r="F337" s="1582"/>
      <c r="G337" s="1582"/>
      <c r="H337" s="1583"/>
      <c r="I337" s="1582"/>
    </row>
    <row r="338" spans="2:9" ht="16">
      <c r="B338" s="1582"/>
      <c r="C338" s="1582"/>
      <c r="D338" s="1584"/>
      <c r="E338" s="1582"/>
      <c r="F338" s="1582"/>
      <c r="G338" s="1582"/>
      <c r="H338" s="1583"/>
      <c r="I338" s="1582"/>
    </row>
    <row r="339" spans="2:9" ht="16">
      <c r="B339" s="1582"/>
      <c r="C339" s="1582"/>
      <c r="D339" s="1584"/>
      <c r="E339" s="1582"/>
      <c r="F339" s="1582"/>
      <c r="G339" s="1582"/>
      <c r="H339" s="1583"/>
      <c r="I339" s="1582"/>
    </row>
    <row r="340" spans="2:9" ht="16">
      <c r="B340" s="1582"/>
      <c r="C340" s="1582"/>
      <c r="D340" s="1584"/>
      <c r="E340" s="1582"/>
      <c r="F340" s="1582"/>
      <c r="G340" s="1582"/>
      <c r="H340" s="1583"/>
      <c r="I340" s="1582"/>
    </row>
    <row r="341" spans="2:9" ht="16">
      <c r="B341" s="1582"/>
      <c r="C341" s="1582"/>
      <c r="D341" s="1584"/>
      <c r="E341" s="1582"/>
      <c r="F341" s="1582"/>
      <c r="G341" s="1582"/>
      <c r="H341" s="1583"/>
      <c r="I341" s="1582"/>
    </row>
    <row r="342" spans="2:9" ht="16">
      <c r="B342" s="1582"/>
      <c r="C342" s="1582"/>
      <c r="D342" s="1584"/>
      <c r="E342" s="1582"/>
      <c r="F342" s="1582"/>
      <c r="G342" s="1582"/>
      <c r="H342" s="1583"/>
      <c r="I342" s="1582"/>
    </row>
    <row r="343" spans="2:9" ht="16">
      <c r="B343" s="1582"/>
      <c r="C343" s="1582"/>
      <c r="D343" s="1584"/>
      <c r="E343" s="1582"/>
      <c r="F343" s="1582"/>
      <c r="G343" s="1582"/>
      <c r="H343" s="1583"/>
      <c r="I343" s="1582"/>
    </row>
    <row r="344" spans="2:9" ht="16">
      <c r="B344" s="1582"/>
      <c r="C344" s="1582"/>
      <c r="D344" s="1584"/>
      <c r="E344" s="1582"/>
      <c r="F344" s="1582"/>
      <c r="G344" s="1582"/>
      <c r="H344" s="1583"/>
      <c r="I344" s="1582"/>
    </row>
    <row r="345" spans="2:9" ht="16">
      <c r="B345" s="1582"/>
      <c r="C345" s="1582"/>
      <c r="D345" s="1584"/>
      <c r="E345" s="1582"/>
      <c r="F345" s="1582"/>
      <c r="G345" s="1582"/>
      <c r="H345" s="1583"/>
      <c r="I345" s="1582"/>
    </row>
    <row r="346" spans="2:9" ht="16">
      <c r="B346" s="1582"/>
      <c r="C346" s="1582"/>
      <c r="D346" s="1584"/>
      <c r="E346" s="1582"/>
      <c r="F346" s="1582"/>
      <c r="G346" s="1582"/>
      <c r="H346" s="1583"/>
      <c r="I346" s="1582"/>
    </row>
    <row r="347" spans="2:9" ht="16">
      <c r="B347" s="1582"/>
      <c r="C347" s="1582"/>
      <c r="D347" s="1584"/>
      <c r="E347" s="1582"/>
      <c r="F347" s="1582"/>
      <c r="G347" s="1582"/>
      <c r="H347" s="1583"/>
      <c r="I347" s="1582"/>
    </row>
    <row r="348" spans="2:9" ht="16">
      <c r="B348" s="1582"/>
      <c r="C348" s="1582"/>
      <c r="D348" s="1584"/>
      <c r="E348" s="1582"/>
      <c r="F348" s="1582"/>
      <c r="G348" s="1582"/>
      <c r="H348" s="1583"/>
      <c r="I348" s="1582"/>
    </row>
    <row r="349" spans="2:9" ht="16">
      <c r="B349" s="1582"/>
      <c r="C349" s="1582"/>
      <c r="D349" s="1584"/>
      <c r="E349" s="1582"/>
      <c r="F349" s="1582"/>
      <c r="G349" s="1582"/>
      <c r="H349" s="1583"/>
      <c r="I349" s="1582"/>
    </row>
    <row r="350" spans="2:9" ht="16">
      <c r="B350" s="1582"/>
      <c r="C350" s="1582"/>
      <c r="D350" s="1584"/>
      <c r="E350" s="1582"/>
      <c r="F350" s="1582"/>
      <c r="G350" s="1582"/>
      <c r="H350" s="1583"/>
      <c r="I350" s="1582"/>
    </row>
    <row r="351" spans="2:9" ht="16">
      <c r="B351" s="1582"/>
      <c r="C351" s="1582"/>
      <c r="D351" s="1584"/>
      <c r="E351" s="1582"/>
      <c r="F351" s="1582"/>
      <c r="G351" s="1582"/>
      <c r="H351" s="1583"/>
      <c r="I351" s="1582"/>
    </row>
    <row r="352" spans="2:9" ht="16">
      <c r="B352" s="1582"/>
      <c r="C352" s="1582"/>
      <c r="D352" s="1584"/>
      <c r="E352" s="1582"/>
      <c r="F352" s="1582"/>
      <c r="G352" s="1582"/>
      <c r="H352" s="1583"/>
      <c r="I352" s="1582"/>
    </row>
    <row r="353" spans="2:9" ht="16">
      <c r="B353" s="1582"/>
      <c r="C353" s="1582"/>
      <c r="D353" s="1584"/>
      <c r="E353" s="1582"/>
      <c r="F353" s="1582"/>
      <c r="G353" s="1582"/>
      <c r="H353" s="1583"/>
      <c r="I353" s="1582"/>
    </row>
    <row r="354" spans="2:9" ht="16">
      <c r="B354" s="1582"/>
      <c r="C354" s="1582"/>
      <c r="D354" s="1584"/>
      <c r="E354" s="1582"/>
      <c r="F354" s="1582"/>
      <c r="G354" s="1582"/>
      <c r="H354" s="1583"/>
      <c r="I354" s="1582"/>
    </row>
    <row r="355" spans="2:9" ht="16">
      <c r="B355" s="1582"/>
      <c r="C355" s="1582"/>
      <c r="D355" s="1584"/>
      <c r="E355" s="1582"/>
      <c r="F355" s="1582"/>
      <c r="G355" s="1582"/>
      <c r="H355" s="1583"/>
      <c r="I355" s="1582"/>
    </row>
    <row r="356" spans="2:9" ht="16">
      <c r="B356" s="1582"/>
      <c r="C356" s="1582"/>
      <c r="D356" s="1584"/>
      <c r="E356" s="1582"/>
      <c r="F356" s="1582"/>
      <c r="G356" s="1582"/>
      <c r="H356" s="1583"/>
      <c r="I356" s="1582"/>
    </row>
    <row r="357" spans="2:9" ht="16">
      <c r="B357" s="1582"/>
      <c r="C357" s="1582"/>
      <c r="D357" s="1584"/>
      <c r="E357" s="1582"/>
      <c r="F357" s="1582"/>
      <c r="G357" s="1582"/>
      <c r="H357" s="1583"/>
      <c r="I357" s="1582"/>
    </row>
    <row r="358" spans="2:9" ht="16">
      <c r="B358" s="1582"/>
      <c r="C358" s="1582"/>
      <c r="D358" s="1584"/>
      <c r="E358" s="1582"/>
      <c r="F358" s="1582"/>
      <c r="G358" s="1582"/>
      <c r="H358" s="1583"/>
      <c r="I358" s="1582"/>
    </row>
    <row r="359" spans="2:9" ht="16">
      <c r="B359" s="1582"/>
      <c r="C359" s="1582"/>
      <c r="D359" s="1584"/>
      <c r="E359" s="1582"/>
      <c r="F359" s="1582"/>
      <c r="G359" s="1582"/>
      <c r="H359" s="1583"/>
      <c r="I359" s="1582"/>
    </row>
    <row r="360" spans="2:9" ht="16">
      <c r="B360" s="1582"/>
      <c r="C360" s="1582"/>
      <c r="D360" s="1584"/>
      <c r="E360" s="1582"/>
      <c r="F360" s="1582"/>
      <c r="G360" s="1582"/>
      <c r="H360" s="1583"/>
      <c r="I360" s="1582"/>
    </row>
    <row r="361" spans="2:9" ht="16">
      <c r="B361" s="1582"/>
      <c r="C361" s="1582"/>
      <c r="D361" s="1584"/>
      <c r="E361" s="1582"/>
      <c r="F361" s="1582"/>
      <c r="G361" s="1582"/>
      <c r="H361" s="1583"/>
      <c r="I361" s="1582"/>
    </row>
    <row r="362" spans="2:9" ht="16">
      <c r="B362" s="1582"/>
      <c r="C362" s="1582"/>
      <c r="D362" s="1584"/>
      <c r="E362" s="1582"/>
      <c r="F362" s="1582"/>
      <c r="G362" s="1582"/>
      <c r="H362" s="1583"/>
      <c r="I362" s="1582"/>
    </row>
    <row r="363" spans="2:9" ht="16">
      <c r="B363" s="1582"/>
      <c r="C363" s="1582"/>
      <c r="D363" s="1584"/>
      <c r="E363" s="1582"/>
      <c r="F363" s="1582"/>
      <c r="G363" s="1582"/>
      <c r="H363" s="1583"/>
      <c r="I363" s="1582"/>
    </row>
    <row r="364" spans="2:9" ht="16">
      <c r="B364" s="1582"/>
      <c r="C364" s="1582"/>
      <c r="D364" s="1584"/>
      <c r="E364" s="1582"/>
      <c r="F364" s="1582"/>
      <c r="G364" s="1582"/>
      <c r="H364" s="1583"/>
      <c r="I364" s="1582"/>
    </row>
    <row r="365" spans="2:9" ht="16">
      <c r="B365" s="1582"/>
      <c r="C365" s="1582"/>
      <c r="D365" s="1584"/>
      <c r="E365" s="1582"/>
      <c r="F365" s="1582"/>
      <c r="G365" s="1582"/>
      <c r="H365" s="1583"/>
      <c r="I365" s="1582"/>
    </row>
    <row r="366" spans="2:9" ht="16">
      <c r="B366" s="1582"/>
      <c r="C366" s="1582"/>
      <c r="D366" s="1584"/>
      <c r="E366" s="1582"/>
      <c r="F366" s="1582"/>
      <c r="G366" s="1582"/>
      <c r="H366" s="1583"/>
      <c r="I366" s="1582"/>
    </row>
    <row r="367" spans="2:9" ht="16">
      <c r="B367" s="1582"/>
      <c r="C367" s="1582"/>
      <c r="D367" s="1584"/>
      <c r="E367" s="1582"/>
      <c r="F367" s="1582"/>
      <c r="G367" s="1582"/>
      <c r="H367" s="1583"/>
      <c r="I367" s="1582"/>
    </row>
    <row r="368" spans="2:9" ht="16">
      <c r="B368" s="1582"/>
      <c r="C368" s="1582"/>
      <c r="D368" s="1584"/>
      <c r="E368" s="1582"/>
      <c r="F368" s="1582"/>
      <c r="G368" s="1582"/>
      <c r="H368" s="1583"/>
      <c r="I368" s="1582"/>
    </row>
    <row r="369" spans="2:9" ht="16">
      <c r="B369" s="1582"/>
      <c r="C369" s="1582"/>
      <c r="D369" s="1584"/>
      <c r="E369" s="1582"/>
      <c r="F369" s="1582"/>
      <c r="G369" s="1582"/>
      <c r="H369" s="1583"/>
      <c r="I369" s="1582"/>
    </row>
    <row r="370" spans="2:9" ht="16">
      <c r="B370" s="1582"/>
      <c r="C370" s="1582"/>
      <c r="D370" s="1584"/>
      <c r="E370" s="1582"/>
      <c r="F370" s="1582"/>
      <c r="G370" s="1582"/>
      <c r="H370" s="1583"/>
      <c r="I370" s="1582"/>
    </row>
    <row r="371" spans="2:9" ht="16">
      <c r="B371" s="1582"/>
      <c r="C371" s="1582"/>
      <c r="D371" s="1584"/>
      <c r="E371" s="1582"/>
      <c r="F371" s="1582"/>
      <c r="G371" s="1582"/>
      <c r="H371" s="1583"/>
      <c r="I371" s="1582"/>
    </row>
    <row r="372" spans="2:9" ht="16">
      <c r="B372" s="1582"/>
      <c r="C372" s="1582"/>
      <c r="D372" s="1584"/>
      <c r="E372" s="1582"/>
      <c r="F372" s="1582"/>
      <c r="G372" s="1582"/>
      <c r="H372" s="1583"/>
      <c r="I372" s="1582"/>
    </row>
    <row r="373" spans="2:9" ht="16">
      <c r="B373" s="1582"/>
      <c r="C373" s="1582"/>
      <c r="D373" s="1584"/>
      <c r="E373" s="1582"/>
      <c r="F373" s="1582"/>
      <c r="G373" s="1582"/>
      <c r="H373" s="1583"/>
      <c r="I373" s="1582"/>
    </row>
    <row r="374" spans="2:9" ht="16">
      <c r="B374" s="1582"/>
      <c r="C374" s="1582"/>
      <c r="D374" s="1584"/>
      <c r="E374" s="1582"/>
      <c r="F374" s="1582"/>
      <c r="G374" s="1582"/>
      <c r="H374" s="1583"/>
      <c r="I374" s="1582"/>
    </row>
    <row r="375" spans="2:9" ht="16">
      <c r="B375" s="1582"/>
      <c r="C375" s="1582"/>
      <c r="D375" s="1584"/>
      <c r="E375" s="1582"/>
      <c r="F375" s="1582"/>
      <c r="G375" s="1582"/>
      <c r="H375" s="1583"/>
      <c r="I375" s="1582"/>
    </row>
    <row r="376" spans="2:9" ht="16">
      <c r="B376" s="1582"/>
      <c r="C376" s="1582"/>
      <c r="D376" s="1584"/>
      <c r="E376" s="1582"/>
      <c r="F376" s="1582"/>
      <c r="G376" s="1582"/>
      <c r="H376" s="1583"/>
      <c r="I376" s="1582"/>
    </row>
    <row r="377" spans="2:9" ht="16">
      <c r="B377" s="1582"/>
      <c r="C377" s="1582"/>
      <c r="D377" s="1584"/>
      <c r="E377" s="1582"/>
      <c r="F377" s="1582"/>
      <c r="G377" s="1582"/>
      <c r="H377" s="1583"/>
      <c r="I377" s="1582"/>
    </row>
    <row r="378" spans="2:9" ht="16">
      <c r="B378" s="1582"/>
      <c r="C378" s="1582"/>
      <c r="D378" s="1584"/>
      <c r="E378" s="1582"/>
      <c r="F378" s="1582"/>
      <c r="G378" s="1582"/>
      <c r="H378" s="1583"/>
      <c r="I378" s="1582"/>
    </row>
    <row r="379" spans="2:9" ht="16">
      <c r="B379" s="1582"/>
      <c r="C379" s="1582"/>
      <c r="D379" s="1584"/>
      <c r="E379" s="1582"/>
      <c r="F379" s="1582"/>
      <c r="G379" s="1582"/>
      <c r="H379" s="1583"/>
      <c r="I379" s="1582"/>
    </row>
    <row r="380" spans="2:9" ht="16">
      <c r="B380" s="1582"/>
      <c r="C380" s="1582"/>
      <c r="D380" s="1584"/>
      <c r="E380" s="1582"/>
      <c r="F380" s="1582"/>
      <c r="G380" s="1582"/>
      <c r="H380" s="1583"/>
      <c r="I380" s="1582"/>
    </row>
    <row r="381" spans="2:9" ht="16">
      <c r="B381" s="1582"/>
      <c r="C381" s="1582"/>
      <c r="D381" s="1584"/>
      <c r="E381" s="1582"/>
      <c r="F381" s="1582"/>
      <c r="G381" s="1582"/>
      <c r="H381" s="1583"/>
      <c r="I381" s="1582"/>
    </row>
    <row r="382" spans="2:9" ht="16">
      <c r="B382" s="1582"/>
      <c r="C382" s="1582"/>
      <c r="D382" s="1584"/>
      <c r="E382" s="1582"/>
      <c r="F382" s="1582"/>
      <c r="G382" s="1582"/>
      <c r="H382" s="1583"/>
      <c r="I382" s="1582"/>
    </row>
    <row r="383" spans="2:9" ht="16">
      <c r="B383" s="1582"/>
      <c r="C383" s="1582"/>
      <c r="D383" s="1584"/>
      <c r="E383" s="1582"/>
      <c r="F383" s="1582"/>
      <c r="G383" s="1582"/>
      <c r="H383" s="1583"/>
      <c r="I383" s="1582"/>
    </row>
    <row r="384" spans="2:9" ht="16">
      <c r="B384" s="1582"/>
      <c r="C384" s="1582"/>
      <c r="D384" s="1584"/>
      <c r="E384" s="1582"/>
      <c r="F384" s="1582"/>
      <c r="G384" s="1582"/>
      <c r="H384" s="1583"/>
      <c r="I384" s="1582"/>
    </row>
    <row r="385" spans="2:9" ht="16">
      <c r="B385" s="1582"/>
      <c r="C385" s="1582"/>
      <c r="D385" s="1584"/>
      <c r="E385" s="1582"/>
      <c r="F385" s="1582"/>
      <c r="G385" s="1582"/>
      <c r="H385" s="1583"/>
      <c r="I385" s="1582"/>
    </row>
    <row r="386" spans="2:9" ht="16">
      <c r="B386" s="1582"/>
      <c r="C386" s="1582"/>
      <c r="D386" s="1584"/>
      <c r="E386" s="1582"/>
      <c r="F386" s="1582"/>
      <c r="G386" s="1582"/>
      <c r="H386" s="1583"/>
      <c r="I386" s="1582"/>
    </row>
    <row r="387" spans="2:9" ht="16">
      <c r="B387" s="1582"/>
      <c r="C387" s="1582"/>
      <c r="D387" s="1584"/>
      <c r="E387" s="1582"/>
      <c r="F387" s="1582"/>
      <c r="G387" s="1582"/>
      <c r="H387" s="1583"/>
      <c r="I387" s="1582"/>
    </row>
    <row r="388" spans="2:9" ht="16">
      <c r="B388" s="1582"/>
      <c r="C388" s="1582"/>
      <c r="D388" s="1584"/>
      <c r="E388" s="1582"/>
      <c r="F388" s="1582"/>
      <c r="G388" s="1582"/>
      <c r="H388" s="1583"/>
      <c r="I388" s="1582"/>
    </row>
    <row r="389" spans="2:9" ht="16">
      <c r="B389" s="1582"/>
      <c r="C389" s="1582"/>
      <c r="D389" s="1584"/>
      <c r="E389" s="1582"/>
      <c r="F389" s="1582"/>
      <c r="G389" s="1582"/>
      <c r="H389" s="1583"/>
      <c r="I389" s="1582"/>
    </row>
    <row r="390" spans="2:9" ht="16">
      <c r="B390" s="1582"/>
      <c r="C390" s="1582"/>
      <c r="D390" s="1584"/>
      <c r="E390" s="1582"/>
      <c r="F390" s="1582"/>
      <c r="G390" s="1582"/>
      <c r="H390" s="1583"/>
      <c r="I390" s="1582"/>
    </row>
    <row r="391" spans="2:9" ht="16">
      <c r="B391" s="1582"/>
      <c r="C391" s="1582"/>
      <c r="D391" s="1584"/>
      <c r="E391" s="1582"/>
      <c r="F391" s="1582"/>
      <c r="G391" s="1582"/>
      <c r="H391" s="1583"/>
      <c r="I391" s="1582"/>
    </row>
    <row r="392" spans="2:9" ht="16">
      <c r="B392" s="1582"/>
      <c r="C392" s="1582"/>
      <c r="D392" s="1584"/>
      <c r="E392" s="1582"/>
      <c r="F392" s="1582"/>
      <c r="G392" s="1582"/>
      <c r="H392" s="1583"/>
      <c r="I392" s="1582"/>
    </row>
    <row r="393" spans="2:9" ht="16">
      <c r="B393" s="1582"/>
      <c r="C393" s="1582"/>
      <c r="D393" s="1584"/>
      <c r="E393" s="1582"/>
      <c r="F393" s="1582"/>
      <c r="G393" s="1582"/>
      <c r="H393" s="1583"/>
      <c r="I393" s="1582"/>
    </row>
    <row r="394" spans="2:9" ht="16">
      <c r="B394" s="1582"/>
      <c r="C394" s="1582"/>
      <c r="D394" s="1584"/>
      <c r="E394" s="1582"/>
      <c r="F394" s="1582"/>
      <c r="G394" s="1582"/>
      <c r="H394" s="1583"/>
      <c r="I394" s="1582"/>
    </row>
    <row r="395" spans="2:9" ht="16">
      <c r="B395" s="1582"/>
      <c r="C395" s="1582"/>
      <c r="D395" s="1584"/>
      <c r="E395" s="1582"/>
      <c r="F395" s="1582"/>
      <c r="G395" s="1582"/>
      <c r="H395" s="1583"/>
      <c r="I395" s="1582"/>
    </row>
    <row r="396" spans="2:9" ht="16">
      <c r="B396" s="1582"/>
      <c r="C396" s="1582"/>
      <c r="D396" s="1584"/>
      <c r="E396" s="1582"/>
      <c r="F396" s="1582"/>
      <c r="G396" s="1582"/>
      <c r="H396" s="1583"/>
      <c r="I396" s="1582"/>
    </row>
    <row r="397" spans="2:9" ht="16">
      <c r="B397" s="1582"/>
      <c r="C397" s="1582"/>
      <c r="D397" s="1584"/>
      <c r="E397" s="1582"/>
      <c r="F397" s="1582"/>
      <c r="G397" s="1582"/>
      <c r="H397" s="1583"/>
      <c r="I397" s="1582"/>
    </row>
    <row r="398" spans="2:9" ht="16">
      <c r="B398" s="1582"/>
      <c r="C398" s="1582"/>
      <c r="D398" s="1584"/>
      <c r="E398" s="1582"/>
      <c r="F398" s="1582"/>
      <c r="G398" s="1582"/>
      <c r="H398" s="1583"/>
      <c r="I398" s="1582"/>
    </row>
    <row r="399" spans="2:9" ht="16">
      <c r="B399" s="1582"/>
      <c r="C399" s="1582"/>
      <c r="D399" s="1584"/>
      <c r="E399" s="1582"/>
      <c r="F399" s="1582"/>
      <c r="G399" s="1582"/>
      <c r="H399" s="1583"/>
      <c r="I399" s="1582"/>
    </row>
    <row r="400" spans="2:9" ht="16">
      <c r="B400" s="1582"/>
      <c r="C400" s="1582"/>
      <c r="D400" s="1584"/>
      <c r="E400" s="1582"/>
      <c r="F400" s="1582"/>
      <c r="G400" s="1582"/>
      <c r="H400" s="1583"/>
      <c r="I400" s="1582"/>
    </row>
    <row r="401" spans="2:9" ht="16">
      <c r="B401" s="1582"/>
      <c r="C401" s="1582"/>
      <c r="D401" s="1584"/>
      <c r="E401" s="1582"/>
      <c r="F401" s="1582"/>
      <c r="G401" s="1582"/>
      <c r="H401" s="1583"/>
      <c r="I401" s="1582"/>
    </row>
    <row r="402" spans="2:9" ht="16">
      <c r="B402" s="1582"/>
      <c r="C402" s="1582"/>
      <c r="D402" s="1584"/>
      <c r="E402" s="1582"/>
      <c r="F402" s="1582"/>
      <c r="G402" s="1582"/>
      <c r="H402" s="1583"/>
      <c r="I402" s="1582"/>
    </row>
    <row r="403" spans="2:9" ht="16">
      <c r="B403" s="1582"/>
      <c r="C403" s="1582"/>
      <c r="D403" s="1584"/>
      <c r="E403" s="1582"/>
      <c r="F403" s="1582"/>
      <c r="G403" s="1582"/>
      <c r="H403" s="1583"/>
      <c r="I403" s="1582"/>
    </row>
    <row r="404" spans="2:9" ht="16">
      <c r="B404" s="1582"/>
      <c r="C404" s="1582"/>
      <c r="D404" s="1584"/>
      <c r="E404" s="1582"/>
      <c r="F404" s="1582"/>
      <c r="G404" s="1582"/>
      <c r="H404" s="1583"/>
      <c r="I404" s="1582"/>
    </row>
    <row r="405" spans="2:9" ht="16">
      <c r="B405" s="1582"/>
      <c r="C405" s="1582"/>
      <c r="D405" s="1584"/>
      <c r="E405" s="1582"/>
      <c r="F405" s="1582"/>
      <c r="G405" s="1582"/>
      <c r="H405" s="1583"/>
      <c r="I405" s="1582"/>
    </row>
    <row r="406" spans="2:9" ht="16">
      <c r="B406" s="1582"/>
      <c r="C406" s="1582"/>
      <c r="D406" s="1584"/>
      <c r="E406" s="1582"/>
      <c r="F406" s="1582"/>
      <c r="G406" s="1582"/>
      <c r="H406" s="1583"/>
      <c r="I406" s="1582"/>
    </row>
    <row r="407" spans="2:9" ht="16">
      <c r="B407" s="1582"/>
      <c r="C407" s="1582"/>
      <c r="D407" s="1584"/>
      <c r="E407" s="1582"/>
      <c r="F407" s="1582"/>
      <c r="G407" s="1582"/>
      <c r="H407" s="1583"/>
      <c r="I407" s="1582"/>
    </row>
    <row r="408" spans="2:9" ht="16">
      <c r="B408" s="1582"/>
      <c r="C408" s="1582"/>
      <c r="D408" s="1584"/>
      <c r="E408" s="1582"/>
      <c r="F408" s="1582"/>
      <c r="G408" s="1582"/>
      <c r="H408" s="1583"/>
      <c r="I408" s="1582"/>
    </row>
    <row r="409" spans="2:9" ht="16">
      <c r="B409" s="1582"/>
      <c r="C409" s="1582"/>
      <c r="D409" s="1584"/>
      <c r="E409" s="1582"/>
      <c r="F409" s="1582"/>
      <c r="G409" s="1582"/>
      <c r="H409" s="1583"/>
      <c r="I409" s="1582"/>
    </row>
    <row r="410" spans="2:9" ht="16">
      <c r="B410" s="1582"/>
      <c r="C410" s="1582"/>
      <c r="D410" s="1584"/>
      <c r="E410" s="1582"/>
      <c r="F410" s="1582"/>
      <c r="G410" s="1582"/>
      <c r="H410" s="1583"/>
      <c r="I410" s="1582"/>
    </row>
    <row r="411" spans="2:9" ht="16">
      <c r="B411" s="1582"/>
      <c r="C411" s="1582"/>
      <c r="D411" s="1584"/>
      <c r="E411" s="1582"/>
      <c r="F411" s="1582"/>
      <c r="G411" s="1582"/>
      <c r="H411" s="1583"/>
      <c r="I411" s="1582"/>
    </row>
    <row r="412" spans="2:9" ht="16">
      <c r="B412" s="1582"/>
      <c r="C412" s="1582"/>
      <c r="D412" s="1584"/>
      <c r="E412" s="1582"/>
      <c r="F412" s="1582"/>
      <c r="G412" s="1582"/>
      <c r="H412" s="1583"/>
      <c r="I412" s="1582"/>
    </row>
    <row r="413" spans="2:9" ht="16">
      <c r="B413" s="1582"/>
      <c r="C413" s="1582"/>
      <c r="D413" s="1584"/>
      <c r="E413" s="1582"/>
      <c r="F413" s="1582"/>
      <c r="G413" s="1582"/>
      <c r="H413" s="1583"/>
      <c r="I413" s="1582"/>
    </row>
    <row r="414" spans="2:9" ht="16">
      <c r="B414" s="1582"/>
      <c r="C414" s="1582"/>
      <c r="D414" s="1584"/>
      <c r="E414" s="1582"/>
      <c r="F414" s="1582"/>
      <c r="G414" s="1582"/>
      <c r="H414" s="1583"/>
      <c r="I414" s="1582"/>
    </row>
    <row r="415" spans="2:9" ht="16">
      <c r="B415" s="1582"/>
      <c r="C415" s="1582"/>
      <c r="D415" s="1584"/>
      <c r="E415" s="1582"/>
      <c r="F415" s="1582"/>
      <c r="G415" s="1582"/>
      <c r="H415" s="1583"/>
      <c r="I415" s="1582"/>
    </row>
    <row r="416" spans="2:9" ht="16">
      <c r="B416" s="1582"/>
      <c r="C416" s="1582"/>
      <c r="D416" s="1584"/>
      <c r="E416" s="1582"/>
      <c r="F416" s="1582"/>
      <c r="G416" s="1582"/>
      <c r="H416" s="1583"/>
      <c r="I416" s="1582"/>
    </row>
    <row r="417" spans="2:9" ht="16">
      <c r="B417" s="1582"/>
      <c r="C417" s="1582"/>
      <c r="D417" s="1584"/>
      <c r="E417" s="1582"/>
      <c r="F417" s="1582"/>
      <c r="G417" s="1582"/>
      <c r="H417" s="1583"/>
      <c r="I417" s="1582"/>
    </row>
    <row r="418" spans="2:9" ht="16">
      <c r="B418" s="1582"/>
      <c r="C418" s="1582"/>
      <c r="D418" s="1584"/>
      <c r="E418" s="1582"/>
      <c r="F418" s="1582"/>
      <c r="G418" s="1582"/>
      <c r="H418" s="1583"/>
      <c r="I418" s="1582"/>
    </row>
    <row r="419" spans="2:9" ht="16">
      <c r="B419" s="1582"/>
      <c r="C419" s="1582"/>
      <c r="D419" s="1584"/>
      <c r="E419" s="1582"/>
      <c r="F419" s="1582"/>
      <c r="G419" s="1582"/>
      <c r="H419" s="1583"/>
      <c r="I419" s="1582"/>
    </row>
    <row r="420" spans="2:9" ht="16">
      <c r="B420" s="1582"/>
      <c r="C420" s="1582"/>
      <c r="D420" s="1584"/>
      <c r="E420" s="1582"/>
      <c r="F420" s="1582"/>
      <c r="G420" s="1582"/>
      <c r="H420" s="1583"/>
      <c r="I420" s="1582"/>
    </row>
    <row r="421" spans="2:9" ht="16">
      <c r="B421" s="1582"/>
      <c r="C421" s="1582"/>
      <c r="D421" s="1584"/>
      <c r="E421" s="1582"/>
      <c r="F421" s="1582"/>
      <c r="G421" s="1582"/>
      <c r="H421" s="1583"/>
      <c r="I421" s="1582"/>
    </row>
    <row r="422" spans="2:9" ht="16">
      <c r="B422" s="1582"/>
      <c r="C422" s="1582"/>
      <c r="D422" s="1584"/>
      <c r="E422" s="1582"/>
      <c r="F422" s="1582"/>
      <c r="G422" s="1582"/>
      <c r="H422" s="1583"/>
      <c r="I422" s="1582"/>
    </row>
    <row r="423" spans="2:9" ht="16">
      <c r="B423" s="1582"/>
      <c r="C423" s="1582"/>
      <c r="D423" s="1584"/>
      <c r="E423" s="1582"/>
      <c r="F423" s="1582"/>
      <c r="G423" s="1582"/>
      <c r="H423" s="1583"/>
      <c r="I423" s="1582"/>
    </row>
    <row r="424" spans="2:9" ht="16">
      <c r="B424" s="1582"/>
      <c r="C424" s="1582"/>
      <c r="D424" s="1584"/>
      <c r="E424" s="1582"/>
      <c r="F424" s="1582"/>
      <c r="G424" s="1582"/>
      <c r="H424" s="1583"/>
      <c r="I424" s="1582"/>
    </row>
    <row r="425" spans="2:9" ht="16">
      <c r="B425" s="1582"/>
      <c r="C425" s="1582"/>
      <c r="D425" s="1584"/>
      <c r="E425" s="1582"/>
      <c r="F425" s="1582"/>
      <c r="G425" s="1582"/>
      <c r="H425" s="1583"/>
      <c r="I425" s="1582"/>
    </row>
    <row r="426" spans="2:9" ht="16">
      <c r="B426" s="1582"/>
      <c r="C426" s="1582"/>
      <c r="D426" s="1584"/>
      <c r="E426" s="1582"/>
      <c r="F426" s="1582"/>
      <c r="G426" s="1582"/>
      <c r="H426" s="1583"/>
      <c r="I426" s="1582"/>
    </row>
    <row r="427" spans="2:9" ht="16">
      <c r="B427" s="1582"/>
      <c r="C427" s="1582"/>
      <c r="D427" s="1584"/>
      <c r="E427" s="1582"/>
      <c r="F427" s="1582"/>
      <c r="G427" s="1582"/>
      <c r="H427" s="1583"/>
      <c r="I427" s="1582"/>
    </row>
    <row r="428" spans="2:9" ht="16">
      <c r="B428" s="1582"/>
      <c r="C428" s="1582"/>
      <c r="D428" s="1584"/>
      <c r="E428" s="1582"/>
      <c r="F428" s="1582"/>
      <c r="G428" s="1582"/>
      <c r="H428" s="1583"/>
      <c r="I428" s="1582"/>
    </row>
    <row r="429" spans="2:9" ht="16">
      <c r="B429" s="1582"/>
      <c r="C429" s="1582"/>
      <c r="D429" s="1584"/>
      <c r="E429" s="1582"/>
      <c r="F429" s="1582"/>
      <c r="G429" s="1582"/>
      <c r="H429" s="1583"/>
      <c r="I429" s="1582"/>
    </row>
    <row r="430" spans="2:9" ht="16">
      <c r="B430" s="1582"/>
      <c r="C430" s="1582"/>
      <c r="D430" s="1584"/>
      <c r="E430" s="1582"/>
      <c r="F430" s="1582"/>
      <c r="G430" s="1582"/>
      <c r="H430" s="1583"/>
      <c r="I430" s="1582"/>
    </row>
    <row r="431" spans="2:9" ht="16">
      <c r="B431" s="1582"/>
      <c r="C431" s="1582"/>
      <c r="D431" s="1584"/>
      <c r="E431" s="1582"/>
      <c r="F431" s="1582"/>
      <c r="G431" s="1582"/>
      <c r="H431" s="1583"/>
      <c r="I431" s="1582"/>
    </row>
    <row r="432" spans="2:9" ht="16">
      <c r="B432" s="1582"/>
      <c r="C432" s="1582"/>
      <c r="D432" s="1584"/>
      <c r="E432" s="1582"/>
      <c r="F432" s="1582"/>
      <c r="G432" s="1582"/>
      <c r="H432" s="1583"/>
      <c r="I432" s="1582"/>
    </row>
    <row r="433" spans="2:9" ht="16">
      <c r="B433" s="1582"/>
      <c r="C433" s="1582"/>
      <c r="D433" s="1584"/>
      <c r="E433" s="1582"/>
      <c r="F433" s="1582"/>
      <c r="G433" s="1582"/>
      <c r="H433" s="1583"/>
      <c r="I433" s="1582"/>
    </row>
    <row r="434" spans="2:9" ht="16">
      <c r="B434" s="1582"/>
      <c r="C434" s="1582"/>
      <c r="D434" s="1584"/>
      <c r="E434" s="1582"/>
      <c r="F434" s="1582"/>
      <c r="G434" s="1582"/>
      <c r="H434" s="1583"/>
      <c r="I434" s="1582"/>
    </row>
    <row r="435" spans="2:9" ht="16">
      <c r="B435" s="1582"/>
      <c r="C435" s="1582"/>
      <c r="D435" s="1584"/>
      <c r="E435" s="1582"/>
      <c r="F435" s="1582"/>
      <c r="G435" s="1582"/>
      <c r="H435" s="1583"/>
      <c r="I435" s="1582"/>
    </row>
    <row r="436" spans="2:9" ht="16">
      <c r="B436" s="1582"/>
      <c r="C436" s="1582"/>
      <c r="D436" s="1584"/>
      <c r="E436" s="1582"/>
      <c r="F436" s="1582"/>
      <c r="G436" s="1582"/>
      <c r="H436" s="1583"/>
      <c r="I436" s="1582"/>
    </row>
    <row r="437" spans="2:9" ht="16">
      <c r="B437" s="1582"/>
      <c r="C437" s="1582"/>
      <c r="D437" s="1584"/>
      <c r="E437" s="1582"/>
      <c r="F437" s="1582"/>
      <c r="G437" s="1582"/>
      <c r="H437" s="1583"/>
      <c r="I437" s="1582"/>
    </row>
    <row r="438" spans="2:9" ht="16">
      <c r="B438" s="1582"/>
      <c r="C438" s="1582"/>
      <c r="D438" s="1584"/>
      <c r="E438" s="1582"/>
      <c r="F438" s="1582"/>
      <c r="G438" s="1582"/>
      <c r="H438" s="1583"/>
      <c r="I438" s="1582"/>
    </row>
    <row r="439" spans="2:9" ht="16">
      <c r="B439" s="1582"/>
      <c r="C439" s="1582"/>
      <c r="D439" s="1584"/>
      <c r="E439" s="1582"/>
      <c r="F439" s="1582"/>
      <c r="G439" s="1582"/>
      <c r="H439" s="1583"/>
      <c r="I439" s="1582"/>
    </row>
    <row r="440" spans="2:9" ht="16">
      <c r="B440" s="1582"/>
      <c r="C440" s="1582"/>
      <c r="D440" s="1584"/>
      <c r="E440" s="1582"/>
      <c r="F440" s="1582"/>
      <c r="G440" s="1582"/>
      <c r="H440" s="1583"/>
      <c r="I440" s="1582"/>
    </row>
    <row r="441" spans="2:9" ht="16">
      <c r="B441" s="1582"/>
      <c r="C441" s="1582"/>
      <c r="D441" s="1584"/>
      <c r="E441" s="1582"/>
      <c r="F441" s="1582"/>
      <c r="G441" s="1582"/>
      <c r="H441" s="1583"/>
      <c r="I441" s="1582"/>
    </row>
    <row r="442" spans="2:9" ht="16">
      <c r="B442" s="1582"/>
      <c r="C442" s="1582"/>
      <c r="D442" s="1584"/>
      <c r="E442" s="1582"/>
      <c r="F442" s="1582"/>
      <c r="G442" s="1582"/>
      <c r="H442" s="1583"/>
      <c r="I442" s="1582"/>
    </row>
    <row r="443" spans="2:9" ht="16">
      <c r="B443" s="1582"/>
      <c r="C443" s="1582"/>
      <c r="D443" s="1584"/>
      <c r="E443" s="1582"/>
      <c r="F443" s="1582"/>
      <c r="G443" s="1582"/>
      <c r="H443" s="1583"/>
      <c r="I443" s="1582"/>
    </row>
    <row r="444" spans="2:9" ht="16">
      <c r="B444" s="1582"/>
      <c r="C444" s="1582"/>
      <c r="D444" s="1584"/>
      <c r="E444" s="1582"/>
      <c r="F444" s="1582"/>
      <c r="G444" s="1582"/>
      <c r="H444" s="1583"/>
      <c r="I444" s="1582"/>
    </row>
    <row r="445" spans="2:9" ht="16">
      <c r="B445" s="1582"/>
      <c r="C445" s="1582"/>
      <c r="D445" s="1584"/>
      <c r="E445" s="1582"/>
      <c r="F445" s="1582"/>
      <c r="G445" s="1582"/>
      <c r="H445" s="1583"/>
      <c r="I445" s="1582"/>
    </row>
    <row r="446" spans="2:9" ht="16">
      <c r="B446" s="1582"/>
      <c r="C446" s="1582"/>
      <c r="D446" s="1584"/>
      <c r="E446" s="1582"/>
      <c r="F446" s="1582"/>
      <c r="G446" s="1582"/>
      <c r="H446" s="1583"/>
      <c r="I446" s="1582"/>
    </row>
    <row r="447" spans="2:9" ht="16">
      <c r="B447" s="1582"/>
      <c r="C447" s="1582"/>
      <c r="D447" s="1584"/>
      <c r="E447" s="1582"/>
      <c r="F447" s="1582"/>
      <c r="G447" s="1582"/>
      <c r="H447" s="1583"/>
      <c r="I447" s="1582"/>
    </row>
    <row r="448" spans="2:9" ht="16">
      <c r="B448" s="1582"/>
      <c r="C448" s="1582"/>
      <c r="D448" s="1584"/>
      <c r="E448" s="1582"/>
      <c r="F448" s="1582"/>
      <c r="G448" s="1582"/>
      <c r="H448" s="1583"/>
      <c r="I448" s="1582"/>
    </row>
    <row r="449" spans="2:9" ht="16">
      <c r="B449" s="1582"/>
      <c r="C449" s="1582"/>
      <c r="D449" s="1584"/>
      <c r="E449" s="1582"/>
      <c r="F449" s="1582"/>
      <c r="G449" s="1582"/>
      <c r="H449" s="1583"/>
      <c r="I449" s="1582"/>
    </row>
    <row r="450" spans="2:9" ht="16">
      <c r="B450" s="1582"/>
      <c r="C450" s="1582"/>
      <c r="D450" s="1584"/>
      <c r="E450" s="1582"/>
      <c r="F450" s="1582"/>
      <c r="G450" s="1582"/>
      <c r="H450" s="1583"/>
      <c r="I450" s="1582"/>
    </row>
    <row r="451" spans="2:9" ht="16">
      <c r="B451" s="1582"/>
      <c r="C451" s="1582"/>
      <c r="D451" s="1584"/>
      <c r="E451" s="1582"/>
      <c r="F451" s="1582"/>
      <c r="G451" s="1582"/>
      <c r="H451" s="1583"/>
      <c r="I451" s="1582"/>
    </row>
    <row r="452" spans="2:9" ht="16">
      <c r="B452" s="1582"/>
      <c r="C452" s="1582"/>
      <c r="D452" s="1584"/>
      <c r="E452" s="1582"/>
      <c r="F452" s="1582"/>
      <c r="G452" s="1582"/>
      <c r="H452" s="1583"/>
      <c r="I452" s="1582"/>
    </row>
    <row r="453" spans="2:9" ht="16">
      <c r="B453" s="1582"/>
      <c r="C453" s="1582"/>
      <c r="D453" s="1584"/>
      <c r="E453" s="1582"/>
      <c r="F453" s="1582"/>
      <c r="G453" s="1582"/>
      <c r="H453" s="1583"/>
      <c r="I453" s="1582"/>
    </row>
    <row r="454" spans="2:9" ht="16">
      <c r="B454" s="1582"/>
      <c r="C454" s="1582"/>
      <c r="D454" s="1584"/>
      <c r="E454" s="1582"/>
      <c r="F454" s="1582"/>
      <c r="G454" s="1582"/>
      <c r="H454" s="1583"/>
      <c r="I454" s="1582"/>
    </row>
    <row r="455" spans="2:9" ht="16">
      <c r="B455" s="1582"/>
      <c r="C455" s="1582"/>
      <c r="D455" s="1584"/>
      <c r="E455" s="1582"/>
      <c r="F455" s="1582"/>
      <c r="G455" s="1582"/>
      <c r="H455" s="1583"/>
      <c r="I455" s="1582"/>
    </row>
    <row r="456" spans="2:9" ht="16">
      <c r="B456" s="1582"/>
      <c r="C456" s="1582"/>
      <c r="D456" s="1584"/>
      <c r="E456" s="1582"/>
      <c r="F456" s="1582"/>
      <c r="G456" s="1582"/>
      <c r="H456" s="1583"/>
      <c r="I456" s="1582"/>
    </row>
    <row r="457" spans="2:9" ht="16">
      <c r="B457" s="1582"/>
      <c r="C457" s="1582"/>
      <c r="D457" s="1584"/>
      <c r="E457" s="1582"/>
      <c r="F457" s="1582"/>
      <c r="G457" s="1582"/>
      <c r="H457" s="1583"/>
      <c r="I457" s="1582"/>
    </row>
    <row r="458" spans="2:9" ht="16">
      <c r="B458" s="1582"/>
      <c r="C458" s="1582"/>
      <c r="D458" s="1584"/>
      <c r="E458" s="1582"/>
      <c r="F458" s="1582"/>
      <c r="G458" s="1582"/>
      <c r="H458" s="1583"/>
      <c r="I458" s="1582"/>
    </row>
    <row r="459" spans="2:9" ht="16">
      <c r="B459" s="1582"/>
      <c r="C459" s="1582"/>
      <c r="D459" s="1584"/>
      <c r="E459" s="1582"/>
      <c r="F459" s="1582"/>
      <c r="G459" s="1582"/>
      <c r="H459" s="1583"/>
      <c r="I459" s="1582"/>
    </row>
    <row r="460" spans="2:9" ht="16">
      <c r="B460" s="1582"/>
      <c r="C460" s="1582"/>
      <c r="D460" s="1584"/>
      <c r="E460" s="1582"/>
      <c r="F460" s="1582"/>
      <c r="G460" s="1582"/>
      <c r="H460" s="1583"/>
      <c r="I460" s="1582"/>
    </row>
    <row r="461" spans="2:9" ht="16">
      <c r="B461" s="1582"/>
      <c r="C461" s="1582"/>
      <c r="D461" s="1584"/>
      <c r="E461" s="1582"/>
      <c r="F461" s="1582"/>
      <c r="G461" s="1582"/>
      <c r="H461" s="1583"/>
      <c r="I461" s="1582"/>
    </row>
    <row r="462" spans="2:9" ht="16">
      <c r="B462" s="1582"/>
      <c r="C462" s="1582"/>
      <c r="D462" s="1584"/>
      <c r="E462" s="1582"/>
      <c r="F462" s="1582"/>
      <c r="G462" s="1582"/>
      <c r="H462" s="1583"/>
      <c r="I462" s="1582"/>
    </row>
    <row r="463" spans="2:9" ht="16">
      <c r="B463" s="1582"/>
      <c r="C463" s="1582"/>
      <c r="D463" s="1584"/>
      <c r="E463" s="1582"/>
      <c r="F463" s="1582"/>
      <c r="G463" s="1582"/>
      <c r="H463" s="1583"/>
      <c r="I463" s="1582"/>
    </row>
    <row r="464" spans="2:9" ht="16">
      <c r="B464" s="1582"/>
      <c r="C464" s="1582"/>
      <c r="D464" s="1584"/>
      <c r="E464" s="1582"/>
      <c r="F464" s="1582"/>
      <c r="G464" s="1582"/>
      <c r="H464" s="1583"/>
      <c r="I464" s="1582"/>
    </row>
    <row r="465" spans="2:9" ht="16">
      <c r="B465" s="1582"/>
      <c r="C465" s="1582"/>
      <c r="D465" s="1584"/>
      <c r="E465" s="1582"/>
      <c r="F465" s="1582"/>
      <c r="G465" s="1582"/>
      <c r="H465" s="1583"/>
      <c r="I465" s="1582"/>
    </row>
    <row r="466" spans="2:9" ht="16">
      <c r="B466" s="1582"/>
      <c r="C466" s="1582"/>
      <c r="D466" s="1584"/>
      <c r="E466" s="1582"/>
      <c r="F466" s="1582"/>
      <c r="G466" s="1582"/>
      <c r="H466" s="1583"/>
      <c r="I466" s="1582"/>
    </row>
    <row r="467" spans="2:9" ht="16">
      <c r="B467" s="1582"/>
      <c r="C467" s="1582"/>
      <c r="D467" s="1584"/>
      <c r="E467" s="1582"/>
      <c r="F467" s="1582"/>
      <c r="G467" s="1582"/>
      <c r="H467" s="1583"/>
      <c r="I467" s="1582"/>
    </row>
    <row r="468" spans="2:9" ht="16">
      <c r="B468" s="1582"/>
      <c r="C468" s="1582"/>
      <c r="D468" s="1584"/>
      <c r="E468" s="1582"/>
      <c r="F468" s="1582"/>
      <c r="G468" s="1582"/>
      <c r="H468" s="1583"/>
      <c r="I468" s="1582"/>
    </row>
    <row r="469" spans="2:9" ht="16">
      <c r="B469" s="1582"/>
      <c r="C469" s="1582"/>
      <c r="D469" s="1584"/>
      <c r="E469" s="1582"/>
      <c r="F469" s="1582"/>
      <c r="G469" s="1582"/>
      <c r="H469" s="1583"/>
      <c r="I469" s="1582"/>
    </row>
    <row r="470" spans="2:9" ht="16">
      <c r="B470" s="1582"/>
      <c r="C470" s="1582"/>
      <c r="D470" s="1584"/>
      <c r="E470" s="1582"/>
      <c r="F470" s="1582"/>
      <c r="G470" s="1582"/>
      <c r="H470" s="1583"/>
      <c r="I470" s="1582"/>
    </row>
    <row r="471" spans="2:9" ht="16">
      <c r="B471" s="1582"/>
      <c r="C471" s="1582"/>
      <c r="D471" s="1584"/>
      <c r="E471" s="1582"/>
      <c r="F471" s="1582"/>
      <c r="G471" s="1582"/>
      <c r="H471" s="1583"/>
      <c r="I471" s="1582"/>
    </row>
    <row r="472" spans="2:9" ht="16">
      <c r="B472" s="1582"/>
      <c r="C472" s="1582"/>
      <c r="D472" s="1584"/>
      <c r="E472" s="1582"/>
      <c r="F472" s="1582"/>
      <c r="G472" s="1582"/>
      <c r="H472" s="1583"/>
      <c r="I472" s="1582"/>
    </row>
    <row r="473" spans="2:9" ht="16">
      <c r="B473" s="1582"/>
      <c r="C473" s="1582"/>
      <c r="D473" s="1584"/>
      <c r="E473" s="1582"/>
      <c r="F473" s="1582"/>
      <c r="G473" s="1582"/>
      <c r="H473" s="1583"/>
      <c r="I473" s="1582"/>
    </row>
    <row r="474" spans="2:9" ht="16">
      <c r="B474" s="1582"/>
      <c r="C474" s="1582"/>
      <c r="D474" s="1584"/>
      <c r="E474" s="1582"/>
      <c r="F474" s="1582"/>
      <c r="G474" s="1582"/>
      <c r="H474" s="1583"/>
      <c r="I474" s="1582"/>
    </row>
    <row r="475" spans="2:9" ht="16">
      <c r="B475" s="1582"/>
      <c r="C475" s="1582"/>
      <c r="D475" s="1584"/>
      <c r="E475" s="1582"/>
      <c r="F475" s="1582"/>
      <c r="G475" s="1582"/>
      <c r="H475" s="1583"/>
      <c r="I475" s="1582"/>
    </row>
    <row r="476" spans="2:9" ht="16">
      <c r="B476" s="1582"/>
      <c r="C476" s="1582"/>
      <c r="D476" s="1584"/>
      <c r="E476" s="1582"/>
      <c r="F476" s="1582"/>
      <c r="G476" s="1582"/>
      <c r="H476" s="1583"/>
      <c r="I476" s="1582"/>
    </row>
    <row r="477" spans="2:9" ht="16">
      <c r="B477" s="1582"/>
      <c r="C477" s="1582"/>
      <c r="D477" s="1584"/>
      <c r="E477" s="1582"/>
      <c r="F477" s="1582"/>
      <c r="G477" s="1582"/>
      <c r="H477" s="1583"/>
      <c r="I477" s="1582"/>
    </row>
    <row r="478" spans="2:9" ht="16">
      <c r="B478" s="1582"/>
      <c r="C478" s="1582"/>
      <c r="D478" s="1584"/>
      <c r="E478" s="1582"/>
      <c r="F478" s="1582"/>
      <c r="G478" s="1582"/>
      <c r="H478" s="1583"/>
      <c r="I478" s="1582"/>
    </row>
    <row r="479" spans="2:9" ht="16">
      <c r="B479" s="1582"/>
      <c r="C479" s="1582"/>
      <c r="D479" s="1584"/>
      <c r="E479" s="1582"/>
      <c r="F479" s="1582"/>
      <c r="G479" s="1582"/>
      <c r="H479" s="1583"/>
      <c r="I479" s="1582"/>
    </row>
    <row r="480" spans="2:9" ht="16">
      <c r="B480" s="1582"/>
      <c r="C480" s="1582"/>
      <c r="D480" s="1584"/>
      <c r="E480" s="1582"/>
      <c r="F480" s="1582"/>
      <c r="G480" s="1582"/>
      <c r="H480" s="1583"/>
      <c r="I480" s="1582"/>
    </row>
    <row r="481" spans="2:9" ht="16">
      <c r="B481" s="1582"/>
      <c r="C481" s="1582"/>
      <c r="D481" s="1584"/>
      <c r="E481" s="1582"/>
      <c r="F481" s="1582"/>
      <c r="G481" s="1582"/>
      <c r="H481" s="1583"/>
      <c r="I481" s="1582"/>
    </row>
    <row r="482" spans="2:9" ht="16">
      <c r="B482" s="1582"/>
      <c r="C482" s="1582"/>
      <c r="D482" s="1584"/>
      <c r="E482" s="1582"/>
      <c r="F482" s="1582"/>
      <c r="G482" s="1582"/>
      <c r="H482" s="1583"/>
      <c r="I482" s="1582"/>
    </row>
    <row r="483" spans="2:9" ht="16">
      <c r="B483" s="1582"/>
      <c r="C483" s="1582"/>
      <c r="D483" s="1584"/>
      <c r="E483" s="1582"/>
      <c r="F483" s="1582"/>
      <c r="G483" s="1582"/>
      <c r="H483" s="1583"/>
      <c r="I483" s="1582"/>
    </row>
    <row r="484" spans="2:9" ht="16">
      <c r="B484" s="1582"/>
      <c r="C484" s="1582"/>
      <c r="D484" s="1584"/>
      <c r="E484" s="1582"/>
      <c r="F484" s="1582"/>
      <c r="G484" s="1582"/>
      <c r="H484" s="1583"/>
      <c r="I484" s="1582"/>
    </row>
    <row r="485" spans="2:9" ht="16">
      <c r="B485" s="1582"/>
      <c r="C485" s="1582"/>
      <c r="D485" s="1584"/>
      <c r="E485" s="1582"/>
      <c r="F485" s="1582"/>
      <c r="G485" s="1582"/>
      <c r="H485" s="1583"/>
      <c r="I485" s="1582"/>
    </row>
    <row r="486" spans="2:9" ht="16">
      <c r="B486" s="1582"/>
      <c r="C486" s="1582"/>
      <c r="D486" s="1584"/>
      <c r="E486" s="1582"/>
      <c r="F486" s="1582"/>
      <c r="G486" s="1582"/>
      <c r="H486" s="1583"/>
      <c r="I486" s="1582"/>
    </row>
    <row r="487" spans="2:9" ht="16">
      <c r="B487" s="1582"/>
      <c r="C487" s="1582"/>
      <c r="D487" s="1584"/>
      <c r="E487" s="1582"/>
      <c r="F487" s="1582"/>
      <c r="G487" s="1582"/>
      <c r="H487" s="1583"/>
      <c r="I487" s="1582"/>
    </row>
    <row r="488" spans="2:9" ht="16">
      <c r="B488" s="1582"/>
      <c r="C488" s="1582"/>
      <c r="D488" s="1584"/>
      <c r="E488" s="1582"/>
      <c r="F488" s="1582"/>
      <c r="G488" s="1582"/>
      <c r="H488" s="1583"/>
      <c r="I488" s="1582"/>
    </row>
    <row r="489" spans="2:9" ht="16">
      <c r="B489" s="1582"/>
      <c r="C489" s="1582"/>
      <c r="D489" s="1584"/>
      <c r="E489" s="1582"/>
      <c r="F489" s="1582"/>
      <c r="G489" s="1582"/>
      <c r="H489" s="1583"/>
      <c r="I489" s="1582"/>
    </row>
    <row r="490" spans="2:9" ht="16">
      <c r="B490" s="1582"/>
      <c r="C490" s="1582"/>
      <c r="D490" s="1584"/>
      <c r="E490" s="1582"/>
      <c r="F490" s="1582"/>
      <c r="G490" s="1582"/>
      <c r="H490" s="1583"/>
      <c r="I490" s="1582"/>
    </row>
    <row r="491" spans="2:9" ht="16">
      <c r="B491" s="1582"/>
      <c r="C491" s="1582"/>
      <c r="D491" s="1584"/>
      <c r="E491" s="1582"/>
      <c r="F491" s="1582"/>
      <c r="G491" s="1582"/>
      <c r="H491" s="1583"/>
      <c r="I491" s="1582"/>
    </row>
    <row r="492" spans="2:9" ht="16">
      <c r="B492" s="1582"/>
      <c r="C492" s="1582"/>
      <c r="D492" s="1584"/>
      <c r="E492" s="1582"/>
      <c r="F492" s="1582"/>
      <c r="G492" s="1582"/>
      <c r="H492" s="1583"/>
      <c r="I492" s="1582"/>
    </row>
    <row r="493" spans="2:9" ht="16">
      <c r="B493" s="1582"/>
      <c r="C493" s="1582"/>
      <c r="D493" s="1584"/>
      <c r="E493" s="1582"/>
      <c r="F493" s="1582"/>
      <c r="G493" s="1582"/>
      <c r="H493" s="1583"/>
      <c r="I493" s="1582"/>
    </row>
    <row r="494" spans="2:9" ht="16">
      <c r="B494" s="1582"/>
      <c r="C494" s="1582"/>
      <c r="D494" s="1584"/>
      <c r="E494" s="1582"/>
      <c r="F494" s="1582"/>
      <c r="G494" s="1582"/>
      <c r="H494" s="1583"/>
      <c r="I494" s="1582"/>
    </row>
    <row r="495" spans="2:9" ht="16">
      <c r="B495" s="1582"/>
      <c r="C495" s="1582"/>
      <c r="D495" s="1584"/>
      <c r="E495" s="1582"/>
      <c r="F495" s="1582"/>
      <c r="G495" s="1582"/>
      <c r="H495" s="1583"/>
      <c r="I495" s="1582"/>
    </row>
    <row r="496" spans="2:9" ht="16">
      <c r="B496" s="1582"/>
      <c r="C496" s="1582"/>
      <c r="D496" s="1584"/>
      <c r="E496" s="1582"/>
      <c r="F496" s="1582"/>
      <c r="G496" s="1582"/>
      <c r="H496" s="1583"/>
      <c r="I496" s="1582"/>
    </row>
    <row r="497" spans="2:9" ht="16">
      <c r="B497" s="1582"/>
      <c r="C497" s="1582"/>
      <c r="D497" s="1584"/>
      <c r="E497" s="1582"/>
      <c r="F497" s="1582"/>
      <c r="G497" s="1582"/>
      <c r="H497" s="1583"/>
      <c r="I497" s="1582"/>
    </row>
    <row r="498" spans="2:9" ht="16">
      <c r="B498" s="1582"/>
      <c r="C498" s="1582"/>
      <c r="D498" s="1584"/>
      <c r="E498" s="1582"/>
      <c r="F498" s="1582"/>
      <c r="G498" s="1582"/>
      <c r="H498" s="1583"/>
      <c r="I498" s="1582"/>
    </row>
    <row r="499" spans="2:9" ht="16">
      <c r="B499" s="1582"/>
      <c r="C499" s="1582"/>
      <c r="D499" s="1584"/>
      <c r="E499" s="1582"/>
      <c r="F499" s="1582"/>
      <c r="G499" s="1582"/>
      <c r="H499" s="1583"/>
      <c r="I499" s="1582"/>
    </row>
    <row r="500" spans="2:9" ht="16">
      <c r="B500" s="1582"/>
      <c r="C500" s="1582"/>
      <c r="D500" s="1584"/>
      <c r="E500" s="1582"/>
      <c r="F500" s="1582"/>
      <c r="G500" s="1582"/>
      <c r="H500" s="1583"/>
      <c r="I500" s="1582"/>
    </row>
    <row r="501" spans="2:9" ht="16">
      <c r="B501" s="1582"/>
      <c r="C501" s="1582"/>
      <c r="D501" s="1584"/>
      <c r="E501" s="1582"/>
      <c r="F501" s="1582"/>
      <c r="G501" s="1582"/>
      <c r="H501" s="1583"/>
      <c r="I501" s="1582"/>
    </row>
    <row r="502" spans="2:9" ht="16">
      <c r="B502" s="1582"/>
      <c r="C502" s="1582"/>
      <c r="D502" s="1584"/>
      <c r="E502" s="1582"/>
      <c r="F502" s="1582"/>
      <c r="G502" s="1582"/>
      <c r="H502" s="1583"/>
      <c r="I502" s="1582"/>
    </row>
    <row r="503" spans="2:9" ht="16">
      <c r="B503" s="1582"/>
      <c r="C503" s="1582"/>
      <c r="D503" s="1584"/>
      <c r="E503" s="1582"/>
      <c r="F503" s="1582"/>
      <c r="G503" s="1582"/>
      <c r="H503" s="1583"/>
      <c r="I503" s="1582"/>
    </row>
    <row r="504" spans="2:9" ht="16">
      <c r="B504" s="1582"/>
      <c r="C504" s="1582"/>
      <c r="D504" s="1584"/>
      <c r="E504" s="1582"/>
      <c r="F504" s="1582"/>
      <c r="G504" s="1582"/>
      <c r="H504" s="1583"/>
      <c r="I504" s="1582"/>
    </row>
    <row r="505" spans="2:9" ht="16">
      <c r="B505" s="1582"/>
      <c r="C505" s="1582"/>
      <c r="D505" s="1584"/>
      <c r="E505" s="1582"/>
      <c r="F505" s="1582"/>
      <c r="G505" s="1582"/>
      <c r="H505" s="1583"/>
      <c r="I505" s="1582"/>
    </row>
    <row r="506" spans="2:9" ht="16">
      <c r="B506" s="1582"/>
      <c r="C506" s="1582"/>
      <c r="D506" s="1584"/>
      <c r="E506" s="1582"/>
      <c r="F506" s="1582"/>
      <c r="G506" s="1582"/>
      <c r="H506" s="1583"/>
      <c r="I506" s="1582"/>
    </row>
    <row r="507" spans="2:9" ht="16">
      <c r="B507" s="1582"/>
      <c r="C507" s="1582"/>
      <c r="D507" s="1584"/>
      <c r="E507" s="1582"/>
      <c r="F507" s="1582"/>
      <c r="G507" s="1582"/>
      <c r="H507" s="1583"/>
      <c r="I507" s="1582"/>
    </row>
    <row r="508" spans="2:9" ht="16">
      <c r="B508" s="1582"/>
      <c r="C508" s="1582"/>
      <c r="D508" s="1584"/>
      <c r="E508" s="1582"/>
      <c r="F508" s="1582"/>
      <c r="G508" s="1582"/>
      <c r="H508" s="1583"/>
      <c r="I508" s="1582"/>
    </row>
    <row r="509" spans="2:9" ht="16">
      <c r="B509" s="1582"/>
      <c r="C509" s="1582"/>
      <c r="D509" s="1584"/>
      <c r="E509" s="1582"/>
      <c r="F509" s="1582"/>
      <c r="G509" s="1582"/>
      <c r="H509" s="1583"/>
      <c r="I509" s="1582"/>
    </row>
    <row r="510" spans="2:9" ht="16">
      <c r="B510" s="1582"/>
      <c r="C510" s="1582"/>
      <c r="D510" s="1584"/>
      <c r="E510" s="1582"/>
      <c r="F510" s="1582"/>
      <c r="G510" s="1582"/>
      <c r="H510" s="1583"/>
      <c r="I510" s="1582"/>
    </row>
    <row r="511" spans="2:9" ht="16">
      <c r="B511" s="1582"/>
      <c r="C511" s="1582"/>
      <c r="D511" s="1584"/>
      <c r="E511" s="1582"/>
      <c r="F511" s="1582"/>
      <c r="G511" s="1582"/>
      <c r="H511" s="1583"/>
      <c r="I511" s="1582"/>
    </row>
    <row r="512" spans="2:9" ht="16">
      <c r="B512" s="1582"/>
      <c r="C512" s="1582"/>
      <c r="D512" s="1584"/>
      <c r="E512" s="1582"/>
      <c r="F512" s="1582"/>
      <c r="G512" s="1582"/>
      <c r="H512" s="1583"/>
      <c r="I512" s="1582"/>
    </row>
    <row r="513" spans="2:9" ht="16">
      <c r="B513" s="1582"/>
      <c r="C513" s="1582"/>
      <c r="D513" s="1584"/>
      <c r="E513" s="1582"/>
      <c r="F513" s="1582"/>
      <c r="G513" s="1582"/>
      <c r="H513" s="1583"/>
      <c r="I513" s="1582"/>
    </row>
    <row r="514" spans="2:9" ht="16">
      <c r="B514" s="1582"/>
      <c r="C514" s="1582"/>
      <c r="D514" s="1584"/>
      <c r="E514" s="1582"/>
      <c r="F514" s="1582"/>
      <c r="G514" s="1582"/>
      <c r="H514" s="1583"/>
      <c r="I514" s="1582"/>
    </row>
    <row r="515" spans="2:9" ht="16">
      <c r="B515" s="1582"/>
      <c r="C515" s="1582"/>
      <c r="D515" s="1584"/>
      <c r="E515" s="1582"/>
      <c r="F515" s="1582"/>
      <c r="G515" s="1582"/>
      <c r="H515" s="1583"/>
      <c r="I515" s="1582"/>
    </row>
    <row r="516" spans="2:9" ht="16">
      <c r="B516" s="1582"/>
      <c r="C516" s="1582"/>
      <c r="D516" s="1584"/>
      <c r="E516" s="1582"/>
      <c r="F516" s="1582"/>
      <c r="G516" s="1582"/>
      <c r="H516" s="1583"/>
      <c r="I516" s="1582"/>
    </row>
    <row r="517" spans="2:9" ht="16">
      <c r="B517" s="1582"/>
      <c r="C517" s="1582"/>
      <c r="D517" s="1584"/>
      <c r="E517" s="1582"/>
      <c r="F517" s="1582"/>
      <c r="G517" s="1582"/>
      <c r="H517" s="1583"/>
      <c r="I517" s="1582"/>
    </row>
    <row r="518" spans="2:9" ht="16">
      <c r="B518" s="1582"/>
      <c r="C518" s="1582"/>
      <c r="D518" s="1584"/>
      <c r="E518" s="1582"/>
      <c r="F518" s="1582"/>
      <c r="G518" s="1582"/>
      <c r="H518" s="1583"/>
      <c r="I518" s="1582"/>
    </row>
    <row r="519" spans="2:9" ht="16">
      <c r="B519" s="1582"/>
      <c r="C519" s="1582"/>
      <c r="D519" s="1584"/>
      <c r="E519" s="1582"/>
      <c r="F519" s="1582"/>
      <c r="G519" s="1582"/>
      <c r="H519" s="1583"/>
      <c r="I519" s="1582"/>
    </row>
    <row r="520" spans="2:9" ht="16">
      <c r="B520" s="1582"/>
      <c r="C520" s="1582"/>
      <c r="D520" s="1584"/>
      <c r="E520" s="1582"/>
      <c r="F520" s="1582"/>
      <c r="G520" s="1582"/>
      <c r="H520" s="1583"/>
      <c r="I520" s="1582"/>
    </row>
    <row r="521" spans="2:9" ht="16">
      <c r="B521" s="1582"/>
      <c r="C521" s="1582"/>
      <c r="D521" s="1584"/>
      <c r="E521" s="1582"/>
      <c r="F521" s="1582"/>
      <c r="G521" s="1582"/>
      <c r="H521" s="1583"/>
      <c r="I521" s="1582"/>
    </row>
    <row r="522" spans="2:9" ht="16">
      <c r="B522" s="1582"/>
      <c r="C522" s="1582"/>
      <c r="D522" s="1584"/>
      <c r="E522" s="1582"/>
      <c r="F522" s="1582"/>
      <c r="G522" s="1582"/>
      <c r="H522" s="1583"/>
      <c r="I522" s="1582"/>
    </row>
    <row r="523" spans="2:9" ht="16">
      <c r="B523" s="1582"/>
      <c r="C523" s="1582"/>
      <c r="D523" s="1584"/>
      <c r="E523" s="1582"/>
      <c r="F523" s="1582"/>
      <c r="G523" s="1582"/>
      <c r="H523" s="1583"/>
      <c r="I523" s="1582"/>
    </row>
    <row r="524" spans="2:9" ht="16">
      <c r="B524" s="1582"/>
      <c r="C524" s="1582"/>
      <c r="D524" s="1584"/>
      <c r="E524" s="1582"/>
      <c r="F524" s="1582"/>
      <c r="G524" s="1582"/>
      <c r="H524" s="1583"/>
      <c r="I524" s="1582"/>
    </row>
    <row r="525" spans="2:9" ht="16">
      <c r="B525" s="1582"/>
      <c r="C525" s="1582"/>
      <c r="D525" s="1584"/>
      <c r="E525" s="1582"/>
      <c r="F525" s="1582"/>
      <c r="G525" s="1582"/>
      <c r="H525" s="1583"/>
      <c r="I525" s="1582"/>
    </row>
    <row r="526" spans="2:9" ht="16">
      <c r="B526" s="1582"/>
      <c r="C526" s="1582"/>
      <c r="D526" s="1584"/>
      <c r="E526" s="1582"/>
      <c r="F526" s="1582"/>
      <c r="G526" s="1582"/>
      <c r="H526" s="1583"/>
      <c r="I526" s="1582"/>
    </row>
    <row r="527" spans="2:9" ht="16">
      <c r="B527" s="1582"/>
      <c r="C527" s="1582"/>
      <c r="D527" s="1584"/>
      <c r="E527" s="1582"/>
      <c r="F527" s="1582"/>
      <c r="G527" s="1582"/>
      <c r="H527" s="1583"/>
      <c r="I527" s="1582"/>
    </row>
    <row r="528" spans="2:9" ht="16">
      <c r="B528" s="1582"/>
      <c r="C528" s="1582"/>
      <c r="D528" s="1584"/>
      <c r="E528" s="1582"/>
      <c r="F528" s="1582"/>
      <c r="G528" s="1582"/>
      <c r="H528" s="1583"/>
      <c r="I528" s="1582"/>
    </row>
    <row r="529" spans="2:9" ht="16">
      <c r="B529" s="1582"/>
      <c r="C529" s="1582"/>
      <c r="D529" s="1584"/>
      <c r="E529" s="1582"/>
      <c r="F529" s="1582"/>
      <c r="G529" s="1582"/>
      <c r="H529" s="1583"/>
      <c r="I529" s="1582"/>
    </row>
    <row r="530" spans="2:9" ht="16">
      <c r="B530" s="1582"/>
      <c r="C530" s="1582"/>
      <c r="D530" s="1584"/>
      <c r="E530" s="1582"/>
      <c r="F530" s="1582"/>
      <c r="G530" s="1582"/>
      <c r="H530" s="1583"/>
      <c r="I530" s="1582"/>
    </row>
    <row r="531" spans="2:9" ht="16">
      <c r="B531" s="1582"/>
      <c r="C531" s="1582"/>
      <c r="D531" s="1584"/>
      <c r="E531" s="1582"/>
      <c r="F531" s="1582"/>
      <c r="G531" s="1582"/>
      <c r="H531" s="1583"/>
      <c r="I531" s="1582"/>
    </row>
    <row r="532" spans="2:9" ht="16">
      <c r="B532" s="1582"/>
      <c r="C532" s="1582"/>
      <c r="D532" s="1584"/>
      <c r="E532" s="1582"/>
      <c r="F532" s="1582"/>
      <c r="G532" s="1582"/>
      <c r="H532" s="1583"/>
      <c r="I532" s="1582"/>
    </row>
    <row r="533" spans="2:9" ht="16">
      <c r="B533" s="1582"/>
      <c r="C533" s="1582"/>
      <c r="D533" s="1584"/>
      <c r="E533" s="1582"/>
      <c r="F533" s="1582"/>
      <c r="G533" s="1582"/>
      <c r="H533" s="1583"/>
      <c r="I533" s="1582"/>
    </row>
    <row r="534" spans="2:9" ht="16">
      <c r="B534" s="1582"/>
      <c r="C534" s="1582"/>
      <c r="D534" s="1584"/>
      <c r="E534" s="1582"/>
      <c r="F534" s="1582"/>
      <c r="G534" s="1582"/>
      <c r="H534" s="1583"/>
      <c r="I534" s="1582"/>
    </row>
    <row r="535" spans="2:9" ht="16">
      <c r="B535" s="1582"/>
      <c r="C535" s="1582"/>
      <c r="D535" s="1584"/>
      <c r="E535" s="1582"/>
      <c r="F535" s="1582"/>
      <c r="G535" s="1582"/>
      <c r="H535" s="1583"/>
      <c r="I535" s="1582"/>
    </row>
    <row r="536" spans="2:9" ht="16">
      <c r="B536" s="1582"/>
      <c r="C536" s="1582"/>
      <c r="D536" s="1584"/>
      <c r="E536" s="1582"/>
      <c r="F536" s="1582"/>
      <c r="G536" s="1582"/>
      <c r="H536" s="1583"/>
      <c r="I536" s="1582"/>
    </row>
    <row r="537" spans="2:9" ht="16">
      <c r="B537" s="1582"/>
      <c r="C537" s="1582"/>
      <c r="D537" s="1584"/>
      <c r="E537" s="1582"/>
      <c r="F537" s="1582"/>
      <c r="G537" s="1582"/>
      <c r="H537" s="1583"/>
      <c r="I537" s="1582"/>
    </row>
    <row r="538" spans="2:9" ht="16">
      <c r="B538" s="1582"/>
      <c r="C538" s="1582"/>
      <c r="D538" s="1584"/>
      <c r="E538" s="1582"/>
      <c r="F538" s="1582"/>
      <c r="G538" s="1582"/>
      <c r="H538" s="1583"/>
      <c r="I538" s="1582"/>
    </row>
    <row r="539" spans="2:9" ht="16">
      <c r="B539" s="1582"/>
      <c r="C539" s="1582"/>
      <c r="D539" s="1584"/>
      <c r="E539" s="1582"/>
      <c r="F539" s="1582"/>
      <c r="G539" s="1582"/>
      <c r="H539" s="1583"/>
      <c r="I539" s="1582"/>
    </row>
    <row r="540" spans="2:9" ht="16">
      <c r="B540" s="1582"/>
      <c r="C540" s="1582"/>
      <c r="D540" s="1584"/>
      <c r="E540" s="1582"/>
      <c r="F540" s="1582"/>
      <c r="G540" s="1582"/>
      <c r="H540" s="1583"/>
      <c r="I540" s="1582"/>
    </row>
    <row r="541" spans="2:9" ht="16">
      <c r="B541" s="1582"/>
      <c r="C541" s="1582"/>
      <c r="D541" s="1584"/>
      <c r="E541" s="1582"/>
      <c r="F541" s="1582"/>
      <c r="G541" s="1582"/>
      <c r="H541" s="1583"/>
      <c r="I541" s="1582"/>
    </row>
    <row r="542" spans="2:9" ht="16">
      <c r="B542" s="1582"/>
      <c r="C542" s="1582"/>
      <c r="D542" s="1584"/>
      <c r="E542" s="1582"/>
      <c r="F542" s="1582"/>
      <c r="G542" s="1582"/>
      <c r="H542" s="1583"/>
      <c r="I542" s="1582"/>
    </row>
    <row r="543" spans="2:9" ht="16">
      <c r="B543" s="1582"/>
      <c r="C543" s="1582"/>
      <c r="D543" s="1584"/>
      <c r="E543" s="1582"/>
      <c r="F543" s="1582"/>
      <c r="G543" s="1582"/>
      <c r="H543" s="1583"/>
      <c r="I543" s="1582"/>
    </row>
    <row r="544" spans="2:9" ht="16">
      <c r="B544" s="1582"/>
      <c r="C544" s="1582"/>
      <c r="D544" s="1584"/>
      <c r="E544" s="1582"/>
      <c r="F544" s="1582"/>
      <c r="G544" s="1582"/>
      <c r="H544" s="1583"/>
      <c r="I544" s="1582"/>
    </row>
    <row r="545" spans="2:9" ht="16">
      <c r="B545" s="1582"/>
      <c r="C545" s="1582"/>
      <c r="D545" s="1584"/>
      <c r="E545" s="1582"/>
      <c r="F545" s="1582"/>
      <c r="G545" s="1582"/>
      <c r="H545" s="1583"/>
      <c r="I545" s="1582"/>
    </row>
    <row r="546" spans="2:9" ht="16">
      <c r="B546" s="1582"/>
      <c r="C546" s="1582"/>
      <c r="D546" s="1584"/>
      <c r="E546" s="1582"/>
      <c r="F546" s="1582"/>
      <c r="G546" s="1582"/>
      <c r="H546" s="1583"/>
      <c r="I546" s="1582"/>
    </row>
    <row r="547" spans="2:9" ht="16">
      <c r="B547" s="1582"/>
      <c r="C547" s="1582"/>
      <c r="D547" s="1584"/>
      <c r="E547" s="1582"/>
      <c r="F547" s="1582"/>
      <c r="G547" s="1582"/>
      <c r="H547" s="1583"/>
      <c r="I547" s="1582"/>
    </row>
    <row r="548" spans="2:9" ht="16">
      <c r="B548" s="1582"/>
      <c r="C548" s="1582"/>
      <c r="D548" s="1584"/>
      <c r="E548" s="1582"/>
      <c r="F548" s="1582"/>
      <c r="G548" s="1582"/>
      <c r="H548" s="1583"/>
      <c r="I548" s="1582"/>
    </row>
    <row r="549" spans="2:9" ht="16">
      <c r="B549" s="1582"/>
      <c r="C549" s="1582"/>
      <c r="D549" s="1584"/>
      <c r="E549" s="1582"/>
      <c r="F549" s="1582"/>
      <c r="G549" s="1582"/>
      <c r="H549" s="1583"/>
      <c r="I549" s="1582"/>
    </row>
    <row r="550" spans="2:9" ht="16">
      <c r="B550" s="1582"/>
      <c r="C550" s="1582"/>
      <c r="D550" s="1584"/>
      <c r="E550" s="1582"/>
      <c r="F550" s="1582"/>
      <c r="G550" s="1582"/>
      <c r="H550" s="1583"/>
      <c r="I550" s="1582"/>
    </row>
    <row r="551" spans="2:9" ht="16">
      <c r="B551" s="1582"/>
      <c r="C551" s="1582"/>
      <c r="D551" s="1584"/>
      <c r="E551" s="1582"/>
      <c r="F551" s="1582"/>
      <c r="G551" s="1582"/>
      <c r="H551" s="1583"/>
      <c r="I551" s="1582"/>
    </row>
    <row r="552" spans="2:9" ht="16">
      <c r="B552" s="1582"/>
      <c r="C552" s="1582"/>
      <c r="D552" s="1584"/>
      <c r="E552" s="1582"/>
      <c r="F552" s="1582"/>
      <c r="G552" s="1582"/>
      <c r="H552" s="1583"/>
      <c r="I552" s="1582"/>
    </row>
    <row r="553" spans="2:9" ht="16">
      <c r="B553" s="1582"/>
      <c r="C553" s="1582"/>
      <c r="D553" s="1584"/>
      <c r="E553" s="1582"/>
      <c r="F553" s="1582"/>
      <c r="G553" s="1582"/>
      <c r="H553" s="1583"/>
      <c r="I553" s="1582"/>
    </row>
    <row r="554" spans="2:9" ht="16">
      <c r="B554" s="1582"/>
      <c r="C554" s="1582"/>
      <c r="D554" s="1584"/>
      <c r="E554" s="1582"/>
      <c r="F554" s="1582"/>
      <c r="G554" s="1582"/>
      <c r="H554" s="1583"/>
      <c r="I554" s="1582"/>
    </row>
    <row r="555" spans="2:9" ht="16">
      <c r="B555" s="1582"/>
      <c r="C555" s="1582"/>
      <c r="D555" s="1584"/>
      <c r="E555" s="1582"/>
      <c r="F555" s="1582"/>
      <c r="G555" s="1582"/>
      <c r="H555" s="1583"/>
      <c r="I555" s="1582"/>
    </row>
    <row r="556" spans="2:9" ht="16">
      <c r="B556" s="1582"/>
      <c r="C556" s="1582"/>
      <c r="D556" s="1584"/>
      <c r="E556" s="1582"/>
      <c r="F556" s="1582"/>
      <c r="G556" s="1582"/>
      <c r="H556" s="1583"/>
      <c r="I556" s="1582"/>
    </row>
    <row r="557" spans="2:9" ht="16">
      <c r="B557" s="1582"/>
      <c r="C557" s="1582"/>
      <c r="D557" s="1584"/>
      <c r="E557" s="1582"/>
      <c r="F557" s="1582"/>
      <c r="G557" s="1582"/>
      <c r="H557" s="1583"/>
      <c r="I557" s="1582"/>
    </row>
    <row r="558" spans="2:9" ht="16">
      <c r="B558" s="1582"/>
      <c r="C558" s="1582"/>
      <c r="D558" s="1584"/>
      <c r="E558" s="1582"/>
      <c r="F558" s="1582"/>
      <c r="G558" s="1582"/>
      <c r="H558" s="1583"/>
      <c r="I558" s="1582"/>
    </row>
    <row r="559" spans="2:9" ht="16">
      <c r="B559" s="1582"/>
      <c r="C559" s="1582"/>
      <c r="D559" s="1584"/>
      <c r="E559" s="1582"/>
      <c r="F559" s="1582"/>
      <c r="G559" s="1582"/>
      <c r="H559" s="1583"/>
      <c r="I559" s="1582"/>
    </row>
    <row r="560" spans="2:9" ht="16">
      <c r="B560" s="1582"/>
      <c r="C560" s="1582"/>
      <c r="D560" s="1584"/>
      <c r="E560" s="1582"/>
      <c r="F560" s="1582"/>
      <c r="G560" s="1582"/>
      <c r="H560" s="1583"/>
      <c r="I560" s="1582"/>
    </row>
    <row r="561" spans="2:9" ht="16">
      <c r="B561" s="1582"/>
      <c r="C561" s="1582"/>
      <c r="D561" s="1584"/>
      <c r="E561" s="1582"/>
      <c r="F561" s="1582"/>
      <c r="G561" s="1582"/>
      <c r="H561" s="1583"/>
      <c r="I561" s="1582"/>
    </row>
    <row r="562" spans="2:9" ht="16">
      <c r="B562" s="1582"/>
      <c r="C562" s="1582"/>
      <c r="D562" s="1584"/>
      <c r="E562" s="1582"/>
      <c r="F562" s="1582"/>
      <c r="G562" s="1582"/>
      <c r="H562" s="1583"/>
      <c r="I562" s="1582"/>
    </row>
    <row r="563" spans="2:9" ht="16">
      <c r="B563" s="1582"/>
      <c r="C563" s="1582"/>
      <c r="D563" s="1584"/>
      <c r="E563" s="1582"/>
      <c r="F563" s="1582"/>
      <c r="G563" s="1582"/>
      <c r="H563" s="1583"/>
      <c r="I563" s="1582"/>
    </row>
    <row r="564" spans="2:9" ht="16">
      <c r="B564" s="1582"/>
      <c r="C564" s="1582"/>
      <c r="D564" s="1584"/>
      <c r="E564" s="1582"/>
      <c r="F564" s="1582"/>
      <c r="G564" s="1582"/>
      <c r="H564" s="1583"/>
      <c r="I564" s="1582"/>
    </row>
    <row r="565" spans="2:9" ht="16">
      <c r="B565" s="1582"/>
      <c r="C565" s="1582"/>
      <c r="D565" s="1584"/>
      <c r="E565" s="1582"/>
      <c r="F565" s="1582"/>
      <c r="G565" s="1582"/>
      <c r="H565" s="1583"/>
      <c r="I565" s="1582"/>
    </row>
    <row r="566" spans="2:9" ht="16">
      <c r="B566" s="1582"/>
      <c r="C566" s="1582"/>
      <c r="D566" s="1584"/>
      <c r="E566" s="1582"/>
      <c r="F566" s="1582"/>
      <c r="G566" s="1582"/>
      <c r="H566" s="1583"/>
      <c r="I566" s="1582"/>
    </row>
    <row r="567" spans="2:9" ht="16">
      <c r="B567" s="1582"/>
      <c r="C567" s="1582"/>
      <c r="D567" s="1584"/>
      <c r="E567" s="1582"/>
      <c r="F567" s="1582"/>
      <c r="G567" s="1582"/>
      <c r="H567" s="1583"/>
      <c r="I567" s="1582"/>
    </row>
    <row r="568" spans="2:9" ht="16">
      <c r="B568" s="1582"/>
      <c r="C568" s="1582"/>
      <c r="D568" s="1584"/>
      <c r="E568" s="1582"/>
      <c r="F568" s="1582"/>
      <c r="G568" s="1582"/>
      <c r="H568" s="1583"/>
      <c r="I568" s="1582"/>
    </row>
    <row r="569" spans="2:9" ht="16">
      <c r="B569" s="1582"/>
      <c r="C569" s="1582"/>
      <c r="D569" s="1584"/>
      <c r="E569" s="1582"/>
      <c r="F569" s="1582"/>
      <c r="G569" s="1582"/>
      <c r="H569" s="1583"/>
      <c r="I569" s="1582"/>
    </row>
    <row r="570" spans="2:9" ht="16">
      <c r="B570" s="1582"/>
      <c r="C570" s="1582"/>
      <c r="D570" s="1584"/>
      <c r="E570" s="1582"/>
      <c r="F570" s="1582"/>
      <c r="G570" s="1582"/>
      <c r="H570" s="1583"/>
      <c r="I570" s="1582"/>
    </row>
    <row r="571" spans="2:9" ht="16">
      <c r="B571" s="1582"/>
      <c r="C571" s="1582"/>
      <c r="D571" s="1584"/>
      <c r="E571" s="1582"/>
      <c r="F571" s="1582"/>
      <c r="G571" s="1582"/>
      <c r="H571" s="1583"/>
      <c r="I571" s="1582"/>
    </row>
    <row r="572" spans="2:9" ht="16">
      <c r="B572" s="1582"/>
      <c r="C572" s="1582"/>
      <c r="D572" s="1584"/>
      <c r="E572" s="1582"/>
      <c r="F572" s="1582"/>
      <c r="G572" s="1582"/>
      <c r="H572" s="1583"/>
      <c r="I572" s="1582"/>
    </row>
    <row r="573" spans="2:9" ht="16">
      <c r="B573" s="1582"/>
      <c r="C573" s="1582"/>
      <c r="D573" s="1584"/>
      <c r="E573" s="1582"/>
      <c r="F573" s="1582"/>
      <c r="G573" s="1582"/>
      <c r="H573" s="1583"/>
      <c r="I573" s="1582"/>
    </row>
    <row r="574" spans="2:9" ht="16">
      <c r="B574" s="1582"/>
      <c r="C574" s="1582"/>
      <c r="D574" s="1584"/>
      <c r="E574" s="1582"/>
      <c r="F574" s="1582"/>
      <c r="G574" s="1582"/>
      <c r="H574" s="1583"/>
      <c r="I574" s="1582"/>
    </row>
    <row r="575" spans="2:9" ht="16">
      <c r="B575" s="1582"/>
      <c r="C575" s="1582"/>
      <c r="D575" s="1584"/>
      <c r="E575" s="1582"/>
      <c r="F575" s="1582"/>
      <c r="G575" s="1582"/>
      <c r="H575" s="1583"/>
      <c r="I575" s="1582"/>
    </row>
    <row r="576" spans="2:9" ht="16">
      <c r="B576" s="1582"/>
      <c r="C576" s="1582"/>
      <c r="D576" s="1584"/>
      <c r="E576" s="1582"/>
      <c r="F576" s="1582"/>
      <c r="G576" s="1582"/>
      <c r="H576" s="1583"/>
      <c r="I576" s="1582"/>
    </row>
    <row r="577" spans="2:9" ht="16">
      <c r="B577" s="1582"/>
      <c r="C577" s="1582"/>
      <c r="D577" s="1584"/>
      <c r="E577" s="1582"/>
      <c r="F577" s="1582"/>
      <c r="G577" s="1582"/>
      <c r="H577" s="1583"/>
      <c r="I577" s="1582"/>
    </row>
    <row r="578" spans="2:9" ht="16">
      <c r="B578" s="1582"/>
      <c r="C578" s="1582"/>
      <c r="D578" s="1584"/>
      <c r="E578" s="1582"/>
      <c r="F578" s="1582"/>
      <c r="G578" s="1582"/>
      <c r="H578" s="1583"/>
      <c r="I578" s="1582"/>
    </row>
    <row r="579" spans="2:9" ht="16">
      <c r="B579" s="1582"/>
      <c r="C579" s="1582"/>
      <c r="D579" s="1584"/>
      <c r="E579" s="1582"/>
      <c r="F579" s="1582"/>
      <c r="G579" s="1582"/>
      <c r="H579" s="1583"/>
      <c r="I579" s="1582"/>
    </row>
    <row r="580" spans="2:9" ht="16">
      <c r="B580" s="1582"/>
      <c r="C580" s="1582"/>
      <c r="D580" s="1584"/>
      <c r="E580" s="1582"/>
      <c r="F580" s="1582"/>
      <c r="G580" s="1582"/>
      <c r="H580" s="1583"/>
      <c r="I580" s="1582"/>
    </row>
    <row r="581" spans="2:9" ht="16">
      <c r="B581" s="1582"/>
      <c r="C581" s="1582"/>
      <c r="D581" s="1584"/>
      <c r="E581" s="1582"/>
      <c r="F581" s="1582"/>
      <c r="G581" s="1582"/>
      <c r="H581" s="1583"/>
      <c r="I581" s="1582"/>
    </row>
    <row r="582" spans="2:9" ht="16">
      <c r="B582" s="1582"/>
      <c r="C582" s="1582"/>
      <c r="D582" s="1584"/>
      <c r="E582" s="1582"/>
      <c r="F582" s="1582"/>
      <c r="G582" s="1582"/>
      <c r="H582" s="1583"/>
      <c r="I582" s="1582"/>
    </row>
    <row r="583" spans="2:9" ht="16">
      <c r="B583" s="1582"/>
      <c r="C583" s="1582"/>
      <c r="D583" s="1584"/>
      <c r="E583" s="1582"/>
      <c r="F583" s="1582"/>
      <c r="G583" s="1582"/>
      <c r="H583" s="1583"/>
      <c r="I583" s="1582"/>
    </row>
    <row r="584" spans="2:9" ht="16">
      <c r="B584" s="1582"/>
      <c r="C584" s="1582"/>
      <c r="D584" s="1584"/>
      <c r="E584" s="1582"/>
      <c r="F584" s="1582"/>
      <c r="G584" s="1582"/>
      <c r="H584" s="1583"/>
      <c r="I584" s="1582"/>
    </row>
    <row r="585" spans="2:9" ht="16">
      <c r="B585" s="1582"/>
      <c r="C585" s="1582"/>
      <c r="D585" s="1584"/>
      <c r="E585" s="1582"/>
      <c r="F585" s="1582"/>
      <c r="G585" s="1582"/>
      <c r="H585" s="1583"/>
      <c r="I585" s="1582"/>
    </row>
    <row r="586" spans="2:9" ht="16">
      <c r="B586" s="1582"/>
      <c r="C586" s="1582"/>
      <c r="D586" s="1584"/>
      <c r="E586" s="1582"/>
      <c r="F586" s="1582"/>
      <c r="G586" s="1582"/>
      <c r="H586" s="1583"/>
      <c r="I586" s="1582"/>
    </row>
    <row r="587" spans="2:9" ht="16">
      <c r="B587" s="1582"/>
      <c r="C587" s="1582"/>
      <c r="D587" s="1584"/>
      <c r="E587" s="1582"/>
      <c r="F587" s="1582"/>
      <c r="G587" s="1582"/>
      <c r="H587" s="1583"/>
      <c r="I587" s="1582"/>
    </row>
    <row r="588" spans="2:9" ht="16">
      <c r="B588" s="1582"/>
      <c r="C588" s="1582"/>
      <c r="D588" s="1584"/>
      <c r="E588" s="1582"/>
      <c r="F588" s="1582"/>
      <c r="G588" s="1582"/>
      <c r="H588" s="1583"/>
      <c r="I588" s="1582"/>
    </row>
    <row r="589" spans="2:9" ht="16">
      <c r="B589" s="1582"/>
      <c r="C589" s="1582"/>
      <c r="D589" s="1584"/>
      <c r="E589" s="1582"/>
      <c r="F589" s="1582"/>
      <c r="G589" s="1582"/>
      <c r="H589" s="1583"/>
      <c r="I589" s="1582"/>
    </row>
    <row r="590" spans="2:9" ht="16">
      <c r="B590" s="1582"/>
      <c r="C590" s="1582"/>
      <c r="D590" s="1584"/>
      <c r="E590" s="1582"/>
      <c r="F590" s="1582"/>
      <c r="G590" s="1582"/>
      <c r="H590" s="1583"/>
      <c r="I590" s="1582"/>
    </row>
    <row r="591" spans="2:9" ht="16">
      <c r="B591" s="1582"/>
      <c r="C591" s="1582"/>
      <c r="D591" s="1584"/>
      <c r="E591" s="1582"/>
      <c r="F591" s="1582"/>
      <c r="G591" s="1582"/>
      <c r="H591" s="1583"/>
      <c r="I591" s="1582"/>
    </row>
    <row r="592" spans="2:9" ht="16">
      <c r="B592" s="1582"/>
      <c r="C592" s="1582"/>
      <c r="D592" s="1584"/>
      <c r="E592" s="1582"/>
      <c r="F592" s="1582"/>
      <c r="G592" s="1582"/>
      <c r="H592" s="1583"/>
      <c r="I592" s="1582"/>
    </row>
    <row r="593" spans="2:9" ht="16">
      <c r="B593" s="1582"/>
      <c r="C593" s="1582"/>
      <c r="D593" s="1584"/>
      <c r="E593" s="1582"/>
      <c r="F593" s="1582"/>
      <c r="G593" s="1582"/>
      <c r="H593" s="1583"/>
      <c r="I593" s="1582"/>
    </row>
    <row r="594" spans="2:9" ht="16">
      <c r="B594" s="1582"/>
      <c r="C594" s="1582"/>
      <c r="D594" s="1584"/>
      <c r="E594" s="1582"/>
      <c r="F594" s="1582"/>
      <c r="G594" s="1582"/>
      <c r="H594" s="1583"/>
      <c r="I594" s="1582"/>
    </row>
    <row r="595" spans="2:9" ht="16">
      <c r="B595" s="1582"/>
      <c r="C595" s="1582"/>
      <c r="D595" s="1584"/>
      <c r="E595" s="1582"/>
      <c r="F595" s="1582"/>
      <c r="G595" s="1582"/>
      <c r="H595" s="1583"/>
      <c r="I595" s="1582"/>
    </row>
    <row r="596" spans="2:9" ht="16">
      <c r="B596" s="1582"/>
      <c r="C596" s="1582"/>
      <c r="D596" s="1584"/>
      <c r="E596" s="1582"/>
      <c r="F596" s="1582"/>
      <c r="G596" s="1582"/>
      <c r="H596" s="1583"/>
      <c r="I596" s="1582"/>
    </row>
    <row r="597" spans="2:9" ht="16">
      <c r="B597" s="1582"/>
      <c r="C597" s="1582"/>
      <c r="D597" s="1584"/>
      <c r="E597" s="1582"/>
      <c r="F597" s="1582"/>
      <c r="G597" s="1582"/>
      <c r="H597" s="1583"/>
      <c r="I597" s="1582"/>
    </row>
    <row r="598" spans="2:9" ht="16">
      <c r="B598" s="1582"/>
      <c r="C598" s="1582"/>
      <c r="D598" s="1584"/>
      <c r="E598" s="1582"/>
      <c r="F598" s="1582"/>
      <c r="G598" s="1582"/>
      <c r="H598" s="1583"/>
      <c r="I598" s="1582"/>
    </row>
    <row r="599" spans="2:9" ht="16">
      <c r="B599" s="1582"/>
      <c r="C599" s="1582"/>
      <c r="D599" s="1584"/>
      <c r="E599" s="1582"/>
      <c r="F599" s="1582"/>
      <c r="G599" s="1582"/>
      <c r="H599" s="1583"/>
      <c r="I599" s="1582"/>
    </row>
    <row r="600" spans="2:9" ht="16">
      <c r="B600" s="1582"/>
      <c r="C600" s="1582"/>
      <c r="D600" s="1584"/>
      <c r="E600" s="1582"/>
      <c r="F600" s="1582"/>
      <c r="G600" s="1582"/>
      <c r="H600" s="1583"/>
      <c r="I600" s="1582"/>
    </row>
    <row r="601" spans="2:9" ht="16">
      <c r="B601" s="1582"/>
      <c r="C601" s="1582"/>
      <c r="D601" s="1584"/>
      <c r="E601" s="1582"/>
      <c r="F601" s="1582"/>
      <c r="G601" s="1582"/>
      <c r="H601" s="1583"/>
      <c r="I601" s="1582"/>
    </row>
    <row r="602" spans="2:9" ht="16">
      <c r="B602" s="1582"/>
      <c r="C602" s="1582"/>
      <c r="D602" s="1584"/>
      <c r="E602" s="1582"/>
      <c r="F602" s="1582"/>
      <c r="G602" s="1582"/>
      <c r="H602" s="1583"/>
      <c r="I602" s="1582"/>
    </row>
    <row r="603" spans="2:9" ht="16">
      <c r="B603" s="1582"/>
      <c r="C603" s="1582"/>
      <c r="D603" s="1584"/>
      <c r="E603" s="1582"/>
      <c r="F603" s="1582"/>
      <c r="G603" s="1582"/>
      <c r="H603" s="1583"/>
      <c r="I603" s="1582"/>
    </row>
    <row r="604" spans="2:9" ht="16">
      <c r="B604" s="1582"/>
      <c r="C604" s="1582"/>
      <c r="D604" s="1584"/>
      <c r="E604" s="1582"/>
      <c r="F604" s="1582"/>
      <c r="G604" s="1582"/>
      <c r="H604" s="1583"/>
      <c r="I604" s="1582"/>
    </row>
    <row r="605" spans="2:9" ht="16">
      <c r="B605" s="1582"/>
      <c r="C605" s="1582"/>
      <c r="D605" s="1584"/>
      <c r="E605" s="1582"/>
      <c r="F605" s="1582"/>
      <c r="G605" s="1582"/>
      <c r="H605" s="1583"/>
      <c r="I605" s="1582"/>
    </row>
    <row r="606" spans="2:9" ht="16">
      <c r="B606" s="1582"/>
      <c r="C606" s="1582"/>
      <c r="D606" s="1584"/>
      <c r="E606" s="1582"/>
      <c r="F606" s="1582"/>
      <c r="G606" s="1582"/>
      <c r="H606" s="1583"/>
      <c r="I606" s="1582"/>
    </row>
    <row r="607" spans="2:9" ht="16">
      <c r="B607" s="1582"/>
      <c r="C607" s="1582"/>
      <c r="D607" s="1584"/>
      <c r="E607" s="1582"/>
      <c r="F607" s="1582"/>
      <c r="G607" s="1582"/>
      <c r="H607" s="1583"/>
      <c r="I607" s="1582"/>
    </row>
    <row r="608" spans="2:9" ht="16">
      <c r="B608" s="1582"/>
      <c r="C608" s="1582"/>
      <c r="D608" s="1584"/>
      <c r="E608" s="1582"/>
      <c r="F608" s="1582"/>
      <c r="G608" s="1582"/>
      <c r="H608" s="1583"/>
      <c r="I608" s="1582"/>
    </row>
    <row r="609" spans="2:9" ht="16">
      <c r="B609" s="1582"/>
      <c r="C609" s="1582"/>
      <c r="D609" s="1584"/>
      <c r="E609" s="1582"/>
      <c r="F609" s="1582"/>
      <c r="G609" s="1582"/>
      <c r="H609" s="1583"/>
      <c r="I609" s="1582"/>
    </row>
    <row r="610" spans="2:9" ht="16">
      <c r="B610" s="1582"/>
      <c r="C610" s="1582"/>
      <c r="D610" s="1584"/>
      <c r="E610" s="1582"/>
      <c r="F610" s="1582"/>
      <c r="G610" s="1582"/>
      <c r="H610" s="1583"/>
      <c r="I610" s="1582"/>
    </row>
    <row r="611" spans="2:9" ht="16">
      <c r="B611" s="1582"/>
      <c r="C611" s="1582"/>
      <c r="D611" s="1584"/>
      <c r="E611" s="1582"/>
      <c r="F611" s="1582"/>
      <c r="G611" s="1582"/>
      <c r="H611" s="1583"/>
      <c r="I611" s="1582"/>
    </row>
    <row r="612" spans="2:9" ht="16">
      <c r="B612" s="1582"/>
      <c r="C612" s="1582"/>
      <c r="D612" s="1584"/>
      <c r="E612" s="1582"/>
      <c r="F612" s="1582"/>
      <c r="G612" s="1582"/>
      <c r="H612" s="1583"/>
      <c r="I612" s="1582"/>
    </row>
    <row r="613" spans="2:9" ht="16">
      <c r="B613" s="1582"/>
      <c r="C613" s="1582"/>
      <c r="D613" s="1584"/>
      <c r="E613" s="1582"/>
      <c r="F613" s="1582"/>
      <c r="G613" s="1582"/>
      <c r="H613" s="1583"/>
      <c r="I613" s="1582"/>
    </row>
    <row r="614" spans="2:9" ht="16">
      <c r="B614" s="1582"/>
      <c r="C614" s="1582"/>
      <c r="D614" s="1584"/>
      <c r="E614" s="1582"/>
      <c r="F614" s="1582"/>
      <c r="G614" s="1582"/>
      <c r="H614" s="1583"/>
      <c r="I614" s="1582"/>
    </row>
    <row r="615" spans="2:9" ht="16">
      <c r="B615" s="1582"/>
      <c r="C615" s="1582"/>
      <c r="D615" s="1584"/>
      <c r="E615" s="1582"/>
      <c r="F615" s="1582"/>
      <c r="G615" s="1582"/>
      <c r="H615" s="1583"/>
      <c r="I615" s="1582"/>
    </row>
    <row r="616" spans="2:9" ht="16">
      <c r="B616" s="1582"/>
      <c r="C616" s="1582"/>
      <c r="D616" s="1584"/>
      <c r="E616" s="1582"/>
      <c r="F616" s="1582"/>
      <c r="G616" s="1582"/>
      <c r="H616" s="1583"/>
      <c r="I616" s="1582"/>
    </row>
    <row r="617" spans="2:9" ht="16">
      <c r="B617" s="1582"/>
      <c r="C617" s="1582"/>
      <c r="D617" s="1584"/>
      <c r="E617" s="1582"/>
      <c r="F617" s="1582"/>
      <c r="G617" s="1582"/>
      <c r="H617" s="1583"/>
      <c r="I617" s="1582"/>
    </row>
    <row r="618" spans="2:9" ht="16">
      <c r="B618" s="1582"/>
      <c r="C618" s="1582"/>
      <c r="D618" s="1584"/>
      <c r="E618" s="1582"/>
      <c r="F618" s="1582"/>
      <c r="G618" s="1582"/>
      <c r="H618" s="1583"/>
      <c r="I618" s="1582"/>
    </row>
    <row r="619" spans="2:9" ht="16">
      <c r="B619" s="1582"/>
      <c r="C619" s="1582"/>
      <c r="D619" s="1584"/>
      <c r="E619" s="1582"/>
      <c r="F619" s="1582"/>
      <c r="G619" s="1582"/>
      <c r="H619" s="1583"/>
      <c r="I619" s="1582"/>
    </row>
    <row r="620" spans="2:9" ht="16">
      <c r="B620" s="1582"/>
      <c r="C620" s="1582"/>
      <c r="D620" s="1584"/>
      <c r="E620" s="1582"/>
      <c r="F620" s="1582"/>
      <c r="G620" s="1582"/>
      <c r="H620" s="1583"/>
      <c r="I620" s="1582"/>
    </row>
    <row r="621" spans="2:9" ht="16">
      <c r="B621" s="1582"/>
      <c r="C621" s="1582"/>
      <c r="D621" s="1584"/>
      <c r="E621" s="1582"/>
      <c r="F621" s="1582"/>
      <c r="G621" s="1582"/>
      <c r="H621" s="1583"/>
      <c r="I621" s="1582"/>
    </row>
    <row r="622" spans="2:9" ht="16">
      <c r="B622" s="1582"/>
      <c r="C622" s="1582"/>
      <c r="D622" s="1584"/>
      <c r="E622" s="1582"/>
      <c r="F622" s="1582"/>
      <c r="G622" s="1582"/>
      <c r="H622" s="1583"/>
      <c r="I622" s="1582"/>
    </row>
    <row r="623" spans="2:9" ht="16">
      <c r="B623" s="1582"/>
      <c r="C623" s="1582"/>
      <c r="D623" s="1584"/>
      <c r="E623" s="1582"/>
      <c r="F623" s="1582"/>
      <c r="G623" s="1582"/>
      <c r="H623" s="1583"/>
      <c r="I623" s="1582"/>
    </row>
    <row r="624" spans="2:9" ht="16">
      <c r="B624" s="1582"/>
      <c r="C624" s="1582"/>
      <c r="D624" s="1584"/>
      <c r="E624" s="1582"/>
      <c r="F624" s="1582"/>
      <c r="G624" s="1582"/>
      <c r="H624" s="1583"/>
      <c r="I624" s="1582"/>
    </row>
    <row r="625" spans="2:9" ht="16">
      <c r="B625" s="1582"/>
      <c r="C625" s="1582"/>
      <c r="D625" s="1584"/>
      <c r="E625" s="1582"/>
      <c r="F625" s="1582"/>
      <c r="G625" s="1582"/>
      <c r="H625" s="1583"/>
      <c r="I625" s="1582"/>
    </row>
    <row r="626" spans="2:9" ht="16">
      <c r="B626" s="1582"/>
      <c r="C626" s="1582"/>
      <c r="D626" s="1584"/>
      <c r="E626" s="1582"/>
      <c r="F626" s="1582"/>
      <c r="G626" s="1582"/>
      <c r="H626" s="1583"/>
      <c r="I626" s="1582"/>
    </row>
    <row r="627" spans="2:9" ht="16">
      <c r="B627" s="1582"/>
      <c r="C627" s="1582"/>
      <c r="D627" s="1584"/>
      <c r="E627" s="1582"/>
      <c r="F627" s="1582"/>
      <c r="G627" s="1582"/>
      <c r="H627" s="1583"/>
      <c r="I627" s="1582"/>
    </row>
    <row r="628" spans="2:9" ht="16">
      <c r="B628" s="1582"/>
      <c r="C628" s="1582"/>
      <c r="D628" s="1584"/>
      <c r="E628" s="1582"/>
      <c r="F628" s="1582"/>
      <c r="G628" s="1582"/>
      <c r="H628" s="1583"/>
      <c r="I628" s="1582"/>
    </row>
    <row r="629" spans="2:9" ht="16">
      <c r="B629" s="1582"/>
      <c r="C629" s="1582"/>
      <c r="D629" s="1584"/>
      <c r="E629" s="1582"/>
      <c r="F629" s="1582"/>
      <c r="G629" s="1582"/>
      <c r="H629" s="1583"/>
      <c r="I629" s="1582"/>
    </row>
    <row r="630" spans="2:9" ht="16">
      <c r="B630" s="1582"/>
      <c r="C630" s="1582"/>
      <c r="D630" s="1584"/>
      <c r="E630" s="1582"/>
      <c r="F630" s="1582"/>
      <c r="G630" s="1582"/>
      <c r="H630" s="1583"/>
      <c r="I630" s="1582"/>
    </row>
    <row r="631" spans="2:9" ht="16">
      <c r="B631" s="1582"/>
      <c r="C631" s="1582"/>
      <c r="D631" s="1584"/>
      <c r="E631" s="1582"/>
      <c r="F631" s="1582"/>
      <c r="G631" s="1582"/>
      <c r="H631" s="1583"/>
      <c r="I631" s="1582"/>
    </row>
    <row r="632" spans="2:9" ht="16">
      <c r="B632" s="1582"/>
      <c r="C632" s="1582"/>
      <c r="D632" s="1584"/>
      <c r="E632" s="1582"/>
      <c r="F632" s="1582"/>
      <c r="G632" s="1582"/>
      <c r="H632" s="1583"/>
      <c r="I632" s="1582"/>
    </row>
    <row r="633" spans="2:9" ht="16">
      <c r="B633" s="1582"/>
      <c r="C633" s="1582"/>
      <c r="D633" s="1584"/>
      <c r="E633" s="1582"/>
      <c r="F633" s="1582"/>
      <c r="G633" s="1582"/>
      <c r="H633" s="1583"/>
      <c r="I633" s="1582"/>
    </row>
    <row r="634" spans="2:9" ht="16">
      <c r="B634" s="1582"/>
      <c r="C634" s="1582"/>
      <c r="D634" s="1584"/>
      <c r="E634" s="1582"/>
      <c r="F634" s="1582"/>
      <c r="G634" s="1582"/>
      <c r="H634" s="1583"/>
      <c r="I634" s="1582"/>
    </row>
    <row r="635" spans="2:9" ht="16">
      <c r="B635" s="1582"/>
      <c r="C635" s="1582"/>
      <c r="D635" s="1584"/>
      <c r="E635" s="1582"/>
      <c r="F635" s="1582"/>
      <c r="G635" s="1582"/>
      <c r="H635" s="1583"/>
      <c r="I635" s="1582"/>
    </row>
    <row r="636" spans="2:9" ht="16">
      <c r="B636" s="1582"/>
      <c r="C636" s="1582"/>
      <c r="D636" s="1584"/>
      <c r="E636" s="1582"/>
      <c r="F636" s="1582"/>
      <c r="G636" s="1582"/>
      <c r="H636" s="1583"/>
      <c r="I636" s="1582"/>
    </row>
    <row r="637" spans="2:9" ht="16">
      <c r="B637" s="1582"/>
      <c r="C637" s="1582"/>
      <c r="D637" s="1584"/>
      <c r="E637" s="1582"/>
      <c r="F637" s="1582"/>
      <c r="G637" s="1582"/>
      <c r="H637" s="1583"/>
      <c r="I637" s="1582"/>
    </row>
    <row r="638" spans="2:9" ht="16">
      <c r="B638" s="1582"/>
      <c r="C638" s="1582"/>
      <c r="D638" s="1584"/>
      <c r="E638" s="1582"/>
      <c r="F638" s="1582"/>
      <c r="G638" s="1582"/>
      <c r="H638" s="1583"/>
      <c r="I638" s="1582"/>
    </row>
    <row r="639" spans="2:9" ht="16">
      <c r="B639" s="1582"/>
      <c r="C639" s="1582"/>
      <c r="D639" s="1584"/>
      <c r="E639" s="1582"/>
      <c r="F639" s="1582"/>
      <c r="G639" s="1582"/>
      <c r="H639" s="1583"/>
      <c r="I639" s="1582"/>
    </row>
    <row r="640" spans="2:9" ht="16">
      <c r="B640" s="1582"/>
      <c r="C640" s="1582"/>
      <c r="D640" s="1584"/>
      <c r="E640" s="1582"/>
      <c r="F640" s="1582"/>
      <c r="G640" s="1582"/>
      <c r="H640" s="1583"/>
      <c r="I640" s="1582"/>
    </row>
    <row r="641" spans="2:9" ht="16">
      <c r="B641" s="1582"/>
      <c r="C641" s="1582"/>
      <c r="D641" s="1584"/>
      <c r="E641" s="1582"/>
      <c r="F641" s="1582"/>
      <c r="G641" s="1582"/>
      <c r="H641" s="1583"/>
      <c r="I641" s="1582"/>
    </row>
    <row r="642" spans="2:9" ht="16">
      <c r="B642" s="1582"/>
      <c r="C642" s="1582"/>
      <c r="D642" s="1584"/>
      <c r="E642" s="1582"/>
      <c r="F642" s="1582"/>
      <c r="G642" s="1582"/>
      <c r="H642" s="1583"/>
      <c r="I642" s="1582"/>
    </row>
    <row r="643" spans="2:9" ht="16">
      <c r="B643" s="1582"/>
      <c r="C643" s="1582"/>
      <c r="D643" s="1584"/>
      <c r="E643" s="1582"/>
      <c r="F643" s="1582"/>
      <c r="G643" s="1582"/>
      <c r="H643" s="1583"/>
      <c r="I643" s="1582"/>
    </row>
    <row r="644" spans="2:9" ht="16">
      <c r="B644" s="1582"/>
      <c r="C644" s="1582"/>
      <c r="D644" s="1584"/>
      <c r="E644" s="1582"/>
      <c r="F644" s="1582"/>
      <c r="G644" s="1582"/>
      <c r="H644" s="1583"/>
      <c r="I644" s="1582"/>
    </row>
    <row r="645" spans="2:9" ht="16">
      <c r="B645" s="1582"/>
      <c r="C645" s="1582"/>
      <c r="D645" s="1584"/>
      <c r="E645" s="1582"/>
      <c r="F645" s="1582"/>
      <c r="G645" s="1582"/>
      <c r="H645" s="1583"/>
      <c r="I645" s="1582"/>
    </row>
    <row r="646" spans="2:9" ht="16">
      <c r="B646" s="1582"/>
      <c r="C646" s="1582"/>
      <c r="D646" s="1584"/>
      <c r="E646" s="1582"/>
      <c r="F646" s="1582"/>
      <c r="G646" s="1582"/>
      <c r="H646" s="1583"/>
      <c r="I646" s="1582"/>
    </row>
    <row r="647" spans="2:9" ht="16">
      <c r="B647" s="1582"/>
      <c r="C647" s="1582"/>
      <c r="D647" s="1584"/>
      <c r="E647" s="1582"/>
      <c r="F647" s="1582"/>
      <c r="G647" s="1582"/>
      <c r="H647" s="1583"/>
      <c r="I647" s="1582"/>
    </row>
    <row r="648" spans="2:9" ht="16">
      <c r="B648" s="1582"/>
      <c r="C648" s="1582"/>
      <c r="D648" s="1584"/>
      <c r="E648" s="1582"/>
      <c r="F648" s="1582"/>
      <c r="G648" s="1582"/>
      <c r="H648" s="1583"/>
      <c r="I648" s="1582"/>
    </row>
    <row r="649" spans="2:9" ht="16">
      <c r="B649" s="1582"/>
      <c r="C649" s="1582"/>
      <c r="D649" s="1584"/>
      <c r="E649" s="1582"/>
      <c r="F649" s="1582"/>
      <c r="G649" s="1582"/>
      <c r="H649" s="1583"/>
      <c r="I649" s="1582"/>
    </row>
    <row r="650" spans="2:9" ht="16">
      <c r="B650" s="1582"/>
      <c r="C650" s="1582"/>
      <c r="D650" s="1584"/>
      <c r="E650" s="1582"/>
      <c r="F650" s="1582"/>
      <c r="G650" s="1582"/>
      <c r="H650" s="1583"/>
      <c r="I650" s="1582"/>
    </row>
    <row r="651" spans="2:9" ht="16">
      <c r="B651" s="1582"/>
      <c r="C651" s="1582"/>
      <c r="D651" s="1584"/>
      <c r="E651" s="1582"/>
      <c r="F651" s="1582"/>
      <c r="G651" s="1582"/>
      <c r="H651" s="1583"/>
      <c r="I651" s="1582"/>
    </row>
    <row r="652" spans="2:9" ht="16">
      <c r="B652" s="1582"/>
      <c r="C652" s="1582"/>
      <c r="D652" s="1584"/>
      <c r="E652" s="1582"/>
      <c r="F652" s="1582"/>
      <c r="G652" s="1582"/>
      <c r="H652" s="1583"/>
      <c r="I652" s="1582"/>
    </row>
    <row r="653" spans="2:9" ht="16">
      <c r="B653" s="1582"/>
      <c r="C653" s="1582"/>
      <c r="D653" s="1584"/>
      <c r="E653" s="1582"/>
      <c r="F653" s="1582"/>
      <c r="G653" s="1582"/>
      <c r="H653" s="1583"/>
      <c r="I653" s="1582"/>
    </row>
    <row r="654" spans="2:9" ht="16">
      <c r="B654" s="1582"/>
      <c r="C654" s="1582"/>
      <c r="D654" s="1584"/>
      <c r="E654" s="1582"/>
      <c r="F654" s="1582"/>
      <c r="G654" s="1582"/>
      <c r="H654" s="1583"/>
      <c r="I654" s="1582"/>
    </row>
    <row r="655" spans="2:9" ht="16">
      <c r="B655" s="1582"/>
      <c r="C655" s="1582"/>
      <c r="D655" s="1584"/>
      <c r="E655" s="1582"/>
      <c r="F655" s="1582"/>
      <c r="G655" s="1582"/>
      <c r="H655" s="1583"/>
      <c r="I655" s="1582"/>
    </row>
    <row r="656" spans="2:9" ht="16">
      <c r="B656" s="1582"/>
      <c r="C656" s="1582"/>
      <c r="D656" s="1584"/>
      <c r="E656" s="1582"/>
      <c r="F656" s="1582"/>
      <c r="G656" s="1582"/>
      <c r="H656" s="1583"/>
      <c r="I656" s="1582"/>
    </row>
    <row r="657" spans="2:9" ht="16">
      <c r="B657" s="1582"/>
      <c r="C657" s="1582"/>
      <c r="D657" s="1584"/>
      <c r="E657" s="1582"/>
      <c r="F657" s="1582"/>
      <c r="G657" s="1582"/>
      <c r="H657" s="1583"/>
      <c r="I657" s="1582"/>
    </row>
    <row r="658" spans="2:9" ht="16">
      <c r="B658" s="1582"/>
      <c r="C658" s="1582"/>
      <c r="D658" s="1584"/>
      <c r="E658" s="1582"/>
      <c r="F658" s="1582"/>
      <c r="G658" s="1582"/>
      <c r="H658" s="1583"/>
      <c r="I658" s="1582"/>
    </row>
    <row r="659" spans="2:9" ht="16">
      <c r="B659" s="1582"/>
      <c r="C659" s="1582"/>
      <c r="D659" s="1584"/>
      <c r="E659" s="1582"/>
      <c r="F659" s="1582"/>
      <c r="G659" s="1582"/>
      <c r="H659" s="1583"/>
      <c r="I659" s="1582"/>
    </row>
    <row r="660" spans="2:9" ht="16">
      <c r="B660" s="1582"/>
      <c r="C660" s="1582"/>
      <c r="D660" s="1584"/>
      <c r="E660" s="1582"/>
      <c r="F660" s="1582"/>
      <c r="G660" s="1582"/>
      <c r="H660" s="1583"/>
      <c r="I660" s="1582"/>
    </row>
    <row r="661" spans="2:9" ht="16">
      <c r="B661" s="1582"/>
      <c r="C661" s="1582"/>
      <c r="D661" s="1584"/>
      <c r="E661" s="1582"/>
      <c r="F661" s="1582"/>
      <c r="G661" s="1582"/>
      <c r="H661" s="1583"/>
      <c r="I661" s="1582"/>
    </row>
    <row r="662" spans="2:9" ht="16">
      <c r="B662" s="1582"/>
      <c r="C662" s="1582"/>
      <c r="D662" s="1584"/>
      <c r="E662" s="1582"/>
      <c r="F662" s="1582"/>
      <c r="G662" s="1582"/>
      <c r="H662" s="1583"/>
      <c r="I662" s="1582"/>
    </row>
    <row r="663" spans="2:9" ht="16">
      <c r="B663" s="1582"/>
      <c r="C663" s="1582"/>
      <c r="D663" s="1584"/>
      <c r="E663" s="1582"/>
      <c r="F663" s="1582"/>
      <c r="G663" s="1582"/>
      <c r="H663" s="1583"/>
      <c r="I663" s="1582"/>
    </row>
    <row r="664" spans="2:9" ht="16">
      <c r="B664" s="1582"/>
      <c r="C664" s="1582"/>
      <c r="D664" s="1584"/>
      <c r="E664" s="1582"/>
      <c r="F664" s="1582"/>
      <c r="G664" s="1582"/>
      <c r="H664" s="1583"/>
      <c r="I664" s="1582"/>
    </row>
    <row r="665" spans="2:9" ht="16">
      <c r="B665" s="1582"/>
      <c r="C665" s="1582"/>
      <c r="D665" s="1584"/>
      <c r="E665" s="1582"/>
      <c r="F665" s="1582"/>
      <c r="G665" s="1582"/>
      <c r="H665" s="1583"/>
      <c r="I665" s="1582"/>
    </row>
    <row r="666" spans="2:9" ht="16">
      <c r="B666" s="1582"/>
      <c r="C666" s="1582"/>
      <c r="D666" s="1584"/>
      <c r="E666" s="1582"/>
      <c r="F666" s="1582"/>
      <c r="G666" s="1582"/>
      <c r="H666" s="1583"/>
      <c r="I666" s="1582"/>
    </row>
    <row r="667" spans="2:9" ht="16">
      <c r="B667" s="1582"/>
      <c r="C667" s="1582"/>
      <c r="D667" s="1584"/>
      <c r="E667" s="1582"/>
      <c r="F667" s="1582"/>
      <c r="G667" s="1582"/>
      <c r="H667" s="1583"/>
      <c r="I667" s="1582"/>
    </row>
    <row r="668" spans="2:9" ht="16">
      <c r="B668" s="1582"/>
      <c r="C668" s="1582"/>
      <c r="D668" s="1584"/>
      <c r="E668" s="1582"/>
      <c r="F668" s="1582"/>
      <c r="G668" s="1582"/>
      <c r="H668" s="1583"/>
      <c r="I668" s="1582"/>
    </row>
    <row r="669" spans="2:9" ht="16">
      <c r="B669" s="1582"/>
      <c r="C669" s="1582"/>
      <c r="D669" s="1584"/>
      <c r="E669" s="1582"/>
      <c r="F669" s="1582"/>
      <c r="G669" s="1582"/>
      <c r="H669" s="1583"/>
      <c r="I669" s="1582"/>
    </row>
    <row r="670" spans="2:9" ht="16">
      <c r="B670" s="1582"/>
      <c r="C670" s="1582"/>
      <c r="D670" s="1584"/>
      <c r="E670" s="1582"/>
      <c r="F670" s="1582"/>
      <c r="G670" s="1582"/>
      <c r="H670" s="1583"/>
      <c r="I670" s="1582"/>
    </row>
    <row r="671" spans="2:9" ht="16">
      <c r="B671" s="1582"/>
      <c r="C671" s="1582"/>
      <c r="D671" s="1584"/>
      <c r="E671" s="1582"/>
      <c r="F671" s="1582"/>
      <c r="G671" s="1582"/>
      <c r="H671" s="1583"/>
      <c r="I671" s="1582"/>
    </row>
    <row r="672" spans="2:9" ht="16">
      <c r="B672" s="1582"/>
      <c r="C672" s="1582"/>
      <c r="D672" s="1584"/>
      <c r="E672" s="1582"/>
      <c r="F672" s="1582"/>
      <c r="G672" s="1582"/>
      <c r="H672" s="1583"/>
      <c r="I672" s="1582"/>
    </row>
    <row r="673" spans="2:9" ht="16">
      <c r="B673" s="1582"/>
      <c r="C673" s="1582"/>
      <c r="D673" s="1584"/>
      <c r="E673" s="1582"/>
      <c r="F673" s="1582"/>
      <c r="G673" s="1582"/>
      <c r="H673" s="1583"/>
      <c r="I673" s="1582"/>
    </row>
    <row r="674" spans="2:9" ht="16">
      <c r="B674" s="1582"/>
      <c r="C674" s="1582"/>
      <c r="D674" s="1584"/>
      <c r="E674" s="1582"/>
      <c r="F674" s="1582"/>
      <c r="G674" s="1582"/>
      <c r="H674" s="1583"/>
      <c r="I674" s="1582"/>
    </row>
    <row r="675" spans="2:9" ht="16">
      <c r="B675" s="1582"/>
      <c r="C675" s="1582"/>
      <c r="D675" s="1584"/>
      <c r="E675" s="1582"/>
      <c r="F675" s="1582"/>
      <c r="G675" s="1582"/>
      <c r="H675" s="1583"/>
      <c r="I675" s="1582"/>
    </row>
    <row r="676" spans="2:9" ht="16">
      <c r="B676" s="1582"/>
      <c r="C676" s="1582"/>
      <c r="D676" s="1584"/>
      <c r="E676" s="1582"/>
      <c r="F676" s="1582"/>
      <c r="G676" s="1582"/>
      <c r="H676" s="1583"/>
      <c r="I676" s="1582"/>
    </row>
    <row r="677" spans="2:9" ht="16">
      <c r="B677" s="1582"/>
      <c r="C677" s="1582"/>
      <c r="D677" s="1584"/>
      <c r="E677" s="1582"/>
      <c r="F677" s="1582"/>
      <c r="G677" s="1582"/>
      <c r="H677" s="1583"/>
      <c r="I677" s="1582"/>
    </row>
    <row r="678" spans="2:9" ht="16">
      <c r="B678" s="1582"/>
      <c r="C678" s="1582"/>
      <c r="D678" s="1584"/>
      <c r="E678" s="1582"/>
      <c r="F678" s="1582"/>
      <c r="G678" s="1582"/>
      <c r="H678" s="1583"/>
      <c r="I678" s="1582"/>
    </row>
    <row r="679" spans="2:9" ht="16">
      <c r="B679" s="1582"/>
      <c r="C679" s="1582"/>
      <c r="D679" s="1584"/>
      <c r="E679" s="1582"/>
      <c r="F679" s="1582"/>
      <c r="G679" s="1582"/>
      <c r="H679" s="1583"/>
      <c r="I679" s="1582"/>
    </row>
    <row r="680" spans="2:9" ht="16">
      <c r="B680" s="1582"/>
      <c r="C680" s="1582"/>
      <c r="D680" s="1584"/>
      <c r="E680" s="1582"/>
      <c r="F680" s="1582"/>
      <c r="G680" s="1582"/>
      <c r="H680" s="1583"/>
      <c r="I680" s="1582"/>
    </row>
    <row r="681" spans="2:9" ht="16">
      <c r="B681" s="1582"/>
      <c r="C681" s="1582"/>
      <c r="D681" s="1584"/>
      <c r="E681" s="1582"/>
      <c r="F681" s="1582"/>
      <c r="G681" s="1582"/>
      <c r="H681" s="1583"/>
      <c r="I681" s="1582"/>
    </row>
    <row r="682" spans="2:9" ht="16">
      <c r="B682" s="1582"/>
      <c r="C682" s="1582"/>
      <c r="D682" s="1584"/>
      <c r="E682" s="1582"/>
      <c r="F682" s="1582"/>
      <c r="G682" s="1582"/>
      <c r="H682" s="1583"/>
      <c r="I682" s="1582"/>
    </row>
    <row r="683" spans="2:9" ht="16">
      <c r="B683" s="1582"/>
      <c r="C683" s="1582"/>
      <c r="D683" s="1584"/>
      <c r="E683" s="1582"/>
      <c r="F683" s="1582"/>
      <c r="G683" s="1582"/>
      <c r="H683" s="1583"/>
      <c r="I683" s="1582"/>
    </row>
    <row r="684" spans="2:9" ht="16">
      <c r="B684" s="1582"/>
      <c r="C684" s="1582"/>
      <c r="D684" s="1584"/>
      <c r="E684" s="1582"/>
      <c r="F684" s="1582"/>
      <c r="G684" s="1582"/>
      <c r="H684" s="1583"/>
      <c r="I684" s="1582"/>
    </row>
    <row r="685" spans="2:9" ht="16">
      <c r="B685" s="1582"/>
      <c r="C685" s="1582"/>
      <c r="D685" s="1584"/>
      <c r="E685" s="1582"/>
      <c r="F685" s="1582"/>
      <c r="G685" s="1582"/>
      <c r="H685" s="1583"/>
      <c r="I685" s="1582"/>
    </row>
    <row r="686" spans="2:9" ht="16">
      <c r="B686" s="1582"/>
      <c r="C686" s="1582"/>
      <c r="D686" s="1584"/>
      <c r="E686" s="1582"/>
      <c r="F686" s="1582"/>
      <c r="G686" s="1582"/>
      <c r="H686" s="1583"/>
      <c r="I686" s="1582"/>
    </row>
    <row r="687" spans="2:9" ht="16">
      <c r="B687" s="1582"/>
      <c r="C687" s="1582"/>
      <c r="D687" s="1584"/>
      <c r="E687" s="1582"/>
      <c r="F687" s="1582"/>
      <c r="G687" s="1582"/>
      <c r="H687" s="1583"/>
      <c r="I687" s="1582"/>
    </row>
    <row r="688" spans="2:9" ht="16">
      <c r="B688" s="1582"/>
      <c r="C688" s="1582"/>
      <c r="D688" s="1584"/>
      <c r="E688" s="1582"/>
      <c r="F688" s="1582"/>
      <c r="G688" s="1582"/>
      <c r="H688" s="1583"/>
      <c r="I688" s="1582"/>
    </row>
    <row r="689" spans="2:9" ht="16">
      <c r="B689" s="1582"/>
      <c r="C689" s="1582"/>
      <c r="D689" s="1584"/>
      <c r="E689" s="1582"/>
      <c r="F689" s="1582"/>
      <c r="G689" s="1582"/>
      <c r="H689" s="1583"/>
      <c r="I689" s="1582"/>
    </row>
    <row r="690" spans="2:9" ht="16">
      <c r="B690" s="1582"/>
      <c r="C690" s="1582"/>
      <c r="D690" s="1584"/>
      <c r="E690" s="1582"/>
      <c r="F690" s="1582"/>
      <c r="G690" s="1582"/>
      <c r="H690" s="1583"/>
      <c r="I690" s="1582"/>
    </row>
    <row r="691" spans="2:9" ht="16">
      <c r="B691" s="1582"/>
      <c r="C691" s="1582"/>
      <c r="D691" s="1584"/>
      <c r="E691" s="1582"/>
      <c r="F691" s="1582"/>
      <c r="G691" s="1582"/>
      <c r="H691" s="1583"/>
      <c r="I691" s="1582"/>
    </row>
    <row r="692" spans="2:9" ht="16">
      <c r="B692" s="1582"/>
      <c r="C692" s="1582"/>
      <c r="D692" s="1584"/>
      <c r="E692" s="1582"/>
      <c r="F692" s="1582"/>
      <c r="G692" s="1582"/>
      <c r="H692" s="1583"/>
      <c r="I692" s="1582"/>
    </row>
    <row r="693" spans="2:9" ht="16">
      <c r="B693" s="1582"/>
      <c r="C693" s="1582"/>
      <c r="D693" s="1584"/>
      <c r="E693" s="1582"/>
      <c r="F693" s="1582"/>
      <c r="G693" s="1582"/>
      <c r="H693" s="1583"/>
      <c r="I693" s="1582"/>
    </row>
    <row r="694" spans="2:9" ht="16">
      <c r="B694" s="1582"/>
      <c r="C694" s="1582"/>
      <c r="D694" s="1584"/>
      <c r="E694" s="1582"/>
      <c r="F694" s="1582"/>
      <c r="G694" s="1582"/>
      <c r="H694" s="1583"/>
      <c r="I694" s="1582"/>
    </row>
    <row r="695" spans="2:9" ht="16">
      <c r="B695" s="1582"/>
      <c r="C695" s="1582"/>
      <c r="D695" s="1584"/>
      <c r="E695" s="1582"/>
      <c r="F695" s="1582"/>
      <c r="G695" s="1582"/>
      <c r="H695" s="1583"/>
      <c r="I695" s="1582"/>
    </row>
    <row r="696" spans="2:9" ht="16">
      <c r="B696" s="1582"/>
      <c r="C696" s="1582"/>
      <c r="D696" s="1584"/>
      <c r="E696" s="1582"/>
      <c r="F696" s="1582"/>
      <c r="G696" s="1582"/>
      <c r="H696" s="1583"/>
      <c r="I696" s="1582"/>
    </row>
    <row r="697" spans="2:9" ht="16">
      <c r="B697" s="1582"/>
      <c r="C697" s="1582"/>
      <c r="D697" s="1584"/>
      <c r="E697" s="1582"/>
      <c r="F697" s="1582"/>
      <c r="G697" s="1582"/>
      <c r="H697" s="1583"/>
      <c r="I697" s="1582"/>
    </row>
    <row r="698" spans="2:9" ht="16">
      <c r="B698" s="1582"/>
      <c r="C698" s="1582"/>
      <c r="D698" s="1584"/>
      <c r="E698" s="1582"/>
      <c r="F698" s="1582"/>
      <c r="G698" s="1582"/>
      <c r="H698" s="1583"/>
      <c r="I698" s="1582"/>
    </row>
    <row r="699" spans="2:9" ht="16">
      <c r="B699" s="1582"/>
      <c r="C699" s="1582"/>
      <c r="D699" s="1584"/>
      <c r="E699" s="1582"/>
      <c r="F699" s="1582"/>
      <c r="G699" s="1582"/>
      <c r="H699" s="1583"/>
      <c r="I699" s="1582"/>
    </row>
    <row r="700" spans="2:9" ht="16">
      <c r="B700" s="1582"/>
      <c r="C700" s="1582"/>
      <c r="D700" s="1584"/>
      <c r="E700" s="1582"/>
      <c r="F700" s="1582"/>
      <c r="G700" s="1582"/>
      <c r="H700" s="1583"/>
      <c r="I700" s="1582"/>
    </row>
    <row r="701" spans="2:9" ht="16">
      <c r="B701" s="1582"/>
      <c r="C701" s="1582"/>
      <c r="D701" s="1584"/>
      <c r="E701" s="1582"/>
      <c r="F701" s="1582"/>
      <c r="G701" s="1582"/>
      <c r="H701" s="1583"/>
      <c r="I701" s="1582"/>
    </row>
    <row r="702" spans="2:9" ht="16">
      <c r="B702" s="1582"/>
      <c r="C702" s="1582"/>
      <c r="D702" s="1584"/>
      <c r="E702" s="1582"/>
      <c r="F702" s="1582"/>
      <c r="G702" s="1582"/>
      <c r="H702" s="1583"/>
      <c r="I702" s="1582"/>
    </row>
    <row r="703" spans="2:9" ht="16">
      <c r="B703" s="1582"/>
      <c r="C703" s="1582"/>
      <c r="D703" s="1584"/>
      <c r="E703" s="1582"/>
      <c r="F703" s="1582"/>
      <c r="G703" s="1582"/>
      <c r="H703" s="1583"/>
      <c r="I703" s="1582"/>
    </row>
    <row r="704" spans="2:9" ht="16">
      <c r="B704" s="1582"/>
      <c r="C704" s="1582"/>
      <c r="D704" s="1584"/>
      <c r="E704" s="1582"/>
      <c r="F704" s="1582"/>
      <c r="G704" s="1582"/>
      <c r="H704" s="1583"/>
      <c r="I704" s="1582"/>
    </row>
    <row r="705" spans="2:9" ht="16">
      <c r="B705" s="1582"/>
      <c r="C705" s="1582"/>
      <c r="D705" s="1584"/>
      <c r="E705" s="1582"/>
      <c r="F705" s="1582"/>
      <c r="G705" s="1582"/>
      <c r="H705" s="1583"/>
      <c r="I705" s="1582"/>
    </row>
    <row r="706" spans="2:9" ht="16">
      <c r="B706" s="1582"/>
      <c r="C706" s="1582"/>
      <c r="D706" s="1584"/>
      <c r="E706" s="1582"/>
      <c r="F706" s="1582"/>
      <c r="G706" s="1582"/>
      <c r="H706" s="1583"/>
      <c r="I706" s="1582"/>
    </row>
    <row r="707" spans="2:9" ht="16">
      <c r="B707" s="1582"/>
      <c r="C707" s="1582"/>
      <c r="D707" s="1584"/>
      <c r="E707" s="1582"/>
      <c r="F707" s="1582"/>
      <c r="G707" s="1582"/>
      <c r="H707" s="1583"/>
      <c r="I707" s="1582"/>
    </row>
    <row r="708" spans="2:9" ht="16">
      <c r="B708" s="1582"/>
      <c r="C708" s="1582"/>
      <c r="D708" s="1584"/>
      <c r="E708" s="1582"/>
      <c r="F708" s="1582"/>
      <c r="G708" s="1582"/>
      <c r="H708" s="1583"/>
      <c r="I708" s="1582"/>
    </row>
    <row r="709" spans="2:9" ht="16">
      <c r="B709" s="1582"/>
      <c r="C709" s="1582"/>
      <c r="D709" s="1584"/>
      <c r="E709" s="1582"/>
      <c r="F709" s="1582"/>
      <c r="G709" s="1582"/>
      <c r="H709" s="1583"/>
      <c r="I709" s="1582"/>
    </row>
    <row r="710" spans="2:9" ht="16">
      <c r="B710" s="1582"/>
      <c r="C710" s="1582"/>
      <c r="D710" s="1584"/>
      <c r="E710" s="1582"/>
      <c r="F710" s="1582"/>
      <c r="G710" s="1582"/>
      <c r="H710" s="1583"/>
      <c r="I710" s="1582"/>
    </row>
    <row r="711" spans="2:9" ht="16">
      <c r="B711" s="1582"/>
      <c r="C711" s="1582"/>
      <c r="D711" s="1584"/>
      <c r="E711" s="1582"/>
      <c r="F711" s="1582"/>
      <c r="G711" s="1582"/>
      <c r="H711" s="1583"/>
      <c r="I711" s="1582"/>
    </row>
    <row r="712" spans="2:9" ht="16">
      <c r="B712" s="1582"/>
      <c r="C712" s="1582"/>
      <c r="D712" s="1584"/>
      <c r="E712" s="1582"/>
      <c r="F712" s="1582"/>
      <c r="G712" s="1582"/>
      <c r="H712" s="1583"/>
      <c r="I712" s="1582"/>
    </row>
    <row r="713" spans="2:9" ht="16">
      <c r="B713" s="1582"/>
      <c r="C713" s="1582"/>
      <c r="D713" s="1584"/>
      <c r="E713" s="1582"/>
      <c r="F713" s="1582"/>
      <c r="G713" s="1582"/>
      <c r="H713" s="1583"/>
      <c r="I713" s="1582"/>
    </row>
    <row r="714" spans="2:9" ht="16">
      <c r="B714" s="1582"/>
      <c r="C714" s="1582"/>
      <c r="D714" s="1584"/>
      <c r="E714" s="1582"/>
      <c r="F714" s="1582"/>
      <c r="G714" s="1582"/>
      <c r="H714" s="1583"/>
      <c r="I714" s="1582"/>
    </row>
    <row r="715" spans="2:9" ht="16">
      <c r="B715" s="1582"/>
      <c r="C715" s="1582"/>
      <c r="D715" s="1584"/>
      <c r="E715" s="1582"/>
      <c r="F715" s="1582"/>
      <c r="G715" s="1582"/>
      <c r="H715" s="1583"/>
      <c r="I715" s="1582"/>
    </row>
    <row r="716" spans="2:9" ht="16">
      <c r="B716" s="1582"/>
      <c r="C716" s="1582"/>
      <c r="D716" s="1584"/>
      <c r="E716" s="1582"/>
      <c r="F716" s="1582"/>
      <c r="G716" s="1582"/>
      <c r="H716" s="1583"/>
      <c r="I716" s="1582"/>
    </row>
    <row r="717" spans="2:9" ht="16">
      <c r="B717" s="1582"/>
      <c r="C717" s="1582"/>
      <c r="D717" s="1584"/>
      <c r="E717" s="1582"/>
      <c r="F717" s="1582"/>
      <c r="G717" s="1582"/>
      <c r="H717" s="1583"/>
      <c r="I717" s="1582"/>
    </row>
    <row r="718" spans="2:9" ht="16">
      <c r="B718" s="1582"/>
      <c r="C718" s="1582"/>
      <c r="D718" s="1584"/>
      <c r="E718" s="1582"/>
      <c r="F718" s="1582"/>
      <c r="G718" s="1582"/>
      <c r="H718" s="1583"/>
      <c r="I718" s="1582"/>
    </row>
    <row r="719" spans="2:9" ht="16">
      <c r="B719" s="1582"/>
      <c r="C719" s="1582"/>
      <c r="D719" s="1584"/>
      <c r="E719" s="1582"/>
      <c r="F719" s="1582"/>
      <c r="G719" s="1582"/>
      <c r="H719" s="1583"/>
      <c r="I719" s="1582"/>
    </row>
    <row r="720" spans="2:9" ht="16">
      <c r="B720" s="1582"/>
      <c r="C720" s="1582"/>
      <c r="D720" s="1584"/>
      <c r="E720" s="1582"/>
      <c r="F720" s="1582"/>
      <c r="G720" s="1582"/>
      <c r="H720" s="1583"/>
      <c r="I720" s="1582"/>
    </row>
    <row r="721" spans="2:9" ht="16">
      <c r="B721" s="1582"/>
      <c r="C721" s="1582"/>
      <c r="D721" s="1584"/>
      <c r="E721" s="1582"/>
      <c r="F721" s="1582"/>
      <c r="G721" s="1582"/>
      <c r="H721" s="1583"/>
      <c r="I721" s="1582"/>
    </row>
    <row r="722" spans="2:9" ht="16">
      <c r="B722" s="1582"/>
      <c r="C722" s="1582"/>
      <c r="D722" s="1584"/>
      <c r="E722" s="1582"/>
      <c r="F722" s="1582"/>
      <c r="G722" s="1582"/>
      <c r="H722" s="1583"/>
      <c r="I722" s="1582"/>
    </row>
    <row r="723" spans="2:9" ht="16">
      <c r="B723" s="1582"/>
      <c r="C723" s="1582"/>
      <c r="D723" s="1584"/>
      <c r="E723" s="1582"/>
      <c r="F723" s="1582"/>
      <c r="G723" s="1582"/>
      <c r="H723" s="1583"/>
      <c r="I723" s="1582"/>
    </row>
    <row r="724" spans="2:9" ht="16">
      <c r="B724" s="1582"/>
      <c r="C724" s="1582"/>
      <c r="D724" s="1584"/>
      <c r="E724" s="1582"/>
      <c r="F724" s="1582"/>
      <c r="G724" s="1582"/>
      <c r="H724" s="1583"/>
      <c r="I724" s="1582"/>
    </row>
    <row r="725" spans="2:9" ht="16">
      <c r="B725" s="1582"/>
      <c r="C725" s="1582"/>
      <c r="D725" s="1584"/>
      <c r="E725" s="1582"/>
      <c r="F725" s="1582"/>
      <c r="G725" s="1582"/>
      <c r="H725" s="1583"/>
      <c r="I725" s="1582"/>
    </row>
    <row r="726" spans="2:9" ht="16">
      <c r="B726" s="1582"/>
      <c r="C726" s="1582"/>
      <c r="D726" s="1584"/>
      <c r="E726" s="1582"/>
      <c r="F726" s="1582"/>
      <c r="G726" s="1582"/>
      <c r="H726" s="1583"/>
      <c r="I726" s="1582"/>
    </row>
    <row r="727" spans="2:9" ht="16">
      <c r="B727" s="1582"/>
      <c r="C727" s="1582"/>
      <c r="D727" s="1584"/>
      <c r="E727" s="1582"/>
      <c r="F727" s="1582"/>
      <c r="G727" s="1582"/>
      <c r="H727" s="1583"/>
      <c r="I727" s="1582"/>
    </row>
    <row r="728" spans="2:9" ht="16">
      <c r="B728" s="1582"/>
      <c r="C728" s="1582"/>
      <c r="D728" s="1584"/>
      <c r="E728" s="1582"/>
      <c r="F728" s="1582"/>
      <c r="G728" s="1582"/>
      <c r="H728" s="1583"/>
      <c r="I728" s="1582"/>
    </row>
    <row r="729" spans="2:9" ht="16">
      <c r="B729" s="1582"/>
      <c r="C729" s="1582"/>
      <c r="D729" s="1584"/>
      <c r="E729" s="1582"/>
      <c r="F729" s="1582"/>
      <c r="G729" s="1582"/>
      <c r="H729" s="1583"/>
      <c r="I729" s="1582"/>
    </row>
    <row r="730" spans="2:9" ht="16">
      <c r="B730" s="1582"/>
      <c r="C730" s="1582"/>
      <c r="D730" s="1584"/>
      <c r="E730" s="1582"/>
      <c r="F730" s="1582"/>
      <c r="G730" s="1582"/>
      <c r="H730" s="1583"/>
      <c r="I730" s="1582"/>
    </row>
    <row r="731" spans="2:9" ht="16">
      <c r="B731" s="1582"/>
      <c r="C731" s="1582"/>
      <c r="D731" s="1584"/>
      <c r="E731" s="1582"/>
      <c r="F731" s="1582"/>
      <c r="G731" s="1582"/>
      <c r="H731" s="1583"/>
      <c r="I731" s="1582"/>
    </row>
    <row r="732" spans="2:9" ht="16">
      <c r="B732" s="1582"/>
      <c r="C732" s="1582"/>
      <c r="D732" s="1584"/>
      <c r="E732" s="1582"/>
      <c r="F732" s="1582"/>
      <c r="G732" s="1582"/>
      <c r="H732" s="1583"/>
      <c r="I732" s="1582"/>
    </row>
    <row r="733" spans="2:9" ht="16">
      <c r="B733" s="1582"/>
      <c r="C733" s="1582"/>
      <c r="D733" s="1584"/>
      <c r="E733" s="1582"/>
      <c r="F733" s="1582"/>
      <c r="G733" s="1582"/>
      <c r="H733" s="1583"/>
      <c r="I733" s="1582"/>
    </row>
    <row r="734" spans="2:9" ht="16">
      <c r="B734" s="1582"/>
      <c r="C734" s="1582"/>
      <c r="D734" s="1584"/>
      <c r="E734" s="1582"/>
      <c r="F734" s="1582"/>
      <c r="G734" s="1582"/>
      <c r="H734" s="1583"/>
      <c r="I734" s="1582"/>
    </row>
    <row r="735" spans="2:9" ht="16">
      <c r="B735" s="1582"/>
      <c r="C735" s="1582"/>
      <c r="D735" s="1584"/>
      <c r="E735" s="1582"/>
      <c r="F735" s="1582"/>
      <c r="G735" s="1582"/>
      <c r="H735" s="1583"/>
      <c r="I735" s="1582"/>
    </row>
    <row r="736" spans="2:9" ht="16">
      <c r="B736" s="1582"/>
      <c r="C736" s="1582"/>
      <c r="D736" s="1584"/>
      <c r="E736" s="1582"/>
      <c r="F736" s="1582"/>
      <c r="G736" s="1582"/>
      <c r="H736" s="1583"/>
      <c r="I736" s="1582"/>
    </row>
    <row r="737" spans="2:9" ht="16">
      <c r="B737" s="1582"/>
      <c r="C737" s="1582"/>
      <c r="D737" s="1584"/>
      <c r="E737" s="1582"/>
      <c r="F737" s="1582"/>
      <c r="G737" s="1582"/>
      <c r="H737" s="1583"/>
      <c r="I737" s="1582"/>
    </row>
    <row r="738" spans="2:9" ht="16">
      <c r="B738" s="1582"/>
      <c r="C738" s="1582"/>
      <c r="D738" s="1584"/>
      <c r="E738" s="1582"/>
      <c r="F738" s="1582"/>
      <c r="G738" s="1582"/>
      <c r="H738" s="1583"/>
      <c r="I738" s="1582"/>
    </row>
    <row r="739" spans="2:9" ht="16">
      <c r="B739" s="1582"/>
      <c r="C739" s="1582"/>
      <c r="D739" s="1584"/>
      <c r="E739" s="1582"/>
      <c r="F739" s="1582"/>
      <c r="G739" s="1582"/>
      <c r="H739" s="1583"/>
      <c r="I739" s="1582"/>
    </row>
    <row r="740" spans="2:9" ht="16">
      <c r="B740" s="1582"/>
      <c r="C740" s="1582"/>
      <c r="D740" s="1584"/>
      <c r="E740" s="1582"/>
      <c r="F740" s="1582"/>
      <c r="G740" s="1582"/>
      <c r="H740" s="1583"/>
      <c r="I740" s="1582"/>
    </row>
    <row r="741" spans="2:9" ht="16">
      <c r="B741" s="1582"/>
      <c r="C741" s="1582"/>
      <c r="D741" s="1584"/>
      <c r="E741" s="1582"/>
      <c r="F741" s="1582"/>
      <c r="G741" s="1582"/>
      <c r="H741" s="1583"/>
      <c r="I741" s="1582"/>
    </row>
    <row r="742" spans="2:9" ht="16">
      <c r="B742" s="1582"/>
      <c r="C742" s="1582"/>
      <c r="D742" s="1584"/>
      <c r="E742" s="1582"/>
      <c r="F742" s="1582"/>
      <c r="G742" s="1582"/>
      <c r="H742" s="1583"/>
      <c r="I742" s="1582"/>
    </row>
    <row r="743" spans="2:9" ht="16">
      <c r="B743" s="1582"/>
      <c r="C743" s="1582"/>
      <c r="D743" s="1584"/>
      <c r="E743" s="1582"/>
      <c r="F743" s="1582"/>
      <c r="G743" s="1582"/>
      <c r="H743" s="1583"/>
      <c r="I743" s="1582"/>
    </row>
    <row r="744" spans="2:9" ht="16">
      <c r="B744" s="1582"/>
      <c r="C744" s="1582"/>
      <c r="D744" s="1584"/>
      <c r="E744" s="1582"/>
      <c r="F744" s="1582"/>
      <c r="G744" s="1582"/>
      <c r="H744" s="1583"/>
      <c r="I744" s="1582"/>
    </row>
    <row r="745" spans="2:9" ht="16">
      <c r="B745" s="1582"/>
      <c r="C745" s="1582"/>
      <c r="D745" s="1584"/>
      <c r="E745" s="1582"/>
      <c r="F745" s="1582"/>
      <c r="G745" s="1582"/>
      <c r="H745" s="1583"/>
      <c r="I745" s="1582"/>
    </row>
    <row r="746" spans="2:9" ht="16">
      <c r="B746" s="1582"/>
      <c r="C746" s="1582"/>
      <c r="D746" s="1584"/>
      <c r="E746" s="1582"/>
      <c r="F746" s="1582"/>
      <c r="G746" s="1582"/>
      <c r="H746" s="1583"/>
      <c r="I746" s="1582"/>
    </row>
    <row r="747" spans="2:9" ht="16">
      <c r="B747" s="1582"/>
      <c r="C747" s="1582"/>
      <c r="D747" s="1584"/>
      <c r="E747" s="1582"/>
      <c r="F747" s="1582"/>
      <c r="G747" s="1582"/>
      <c r="H747" s="1583"/>
      <c r="I747" s="1582"/>
    </row>
    <row r="748" spans="2:9" ht="16">
      <c r="B748" s="1582"/>
      <c r="C748" s="1582"/>
      <c r="D748" s="1584"/>
      <c r="E748" s="1582"/>
      <c r="F748" s="1582"/>
      <c r="G748" s="1582"/>
      <c r="H748" s="1583"/>
      <c r="I748" s="1582"/>
    </row>
    <row r="749" spans="2:9" ht="16">
      <c r="B749" s="1582"/>
      <c r="C749" s="1582"/>
      <c r="D749" s="1584"/>
      <c r="E749" s="1582"/>
      <c r="F749" s="1582"/>
      <c r="G749" s="1582"/>
      <c r="H749" s="1583"/>
      <c r="I749" s="1582"/>
    </row>
    <row r="750" spans="2:9" ht="16">
      <c r="B750" s="1582"/>
      <c r="C750" s="1582"/>
      <c r="D750" s="1584"/>
      <c r="E750" s="1582"/>
      <c r="F750" s="1582"/>
      <c r="G750" s="1582"/>
      <c r="H750" s="1583"/>
      <c r="I750" s="1582"/>
    </row>
    <row r="751" spans="2:9" ht="16">
      <c r="B751" s="1582"/>
      <c r="C751" s="1582"/>
      <c r="D751" s="1584"/>
      <c r="E751" s="1582"/>
      <c r="F751" s="1582"/>
      <c r="G751" s="1582"/>
      <c r="H751" s="1583"/>
      <c r="I751" s="1582"/>
    </row>
    <row r="752" spans="2:9" ht="16">
      <c r="B752" s="1582"/>
      <c r="C752" s="1582"/>
      <c r="D752" s="1584"/>
      <c r="E752" s="1582"/>
      <c r="F752" s="1582"/>
      <c r="G752" s="1582"/>
      <c r="H752" s="1583"/>
      <c r="I752" s="1582"/>
    </row>
    <row r="753" spans="2:9" ht="16">
      <c r="B753" s="1582"/>
      <c r="C753" s="1582"/>
      <c r="D753" s="1584"/>
      <c r="E753" s="1582"/>
      <c r="F753" s="1582"/>
      <c r="G753" s="1582"/>
      <c r="H753" s="1583"/>
      <c r="I753" s="1582"/>
    </row>
    <row r="754" spans="2:9" ht="16">
      <c r="B754" s="1582"/>
      <c r="C754" s="1582"/>
      <c r="D754" s="1584"/>
      <c r="E754" s="1582"/>
      <c r="F754" s="1582"/>
      <c r="G754" s="1582"/>
      <c r="H754" s="1583"/>
      <c r="I754" s="1582"/>
    </row>
    <row r="755" spans="2:9" ht="16">
      <c r="B755" s="1582"/>
      <c r="C755" s="1582"/>
      <c r="D755" s="1584"/>
      <c r="E755" s="1582"/>
      <c r="F755" s="1582"/>
      <c r="G755" s="1582"/>
      <c r="H755" s="1583"/>
      <c r="I755" s="1582"/>
    </row>
    <row r="756" spans="2:9" ht="16">
      <c r="B756" s="1582"/>
      <c r="C756" s="1582"/>
      <c r="D756" s="1584"/>
      <c r="E756" s="1582"/>
      <c r="F756" s="1582"/>
      <c r="G756" s="1582"/>
      <c r="H756" s="1583"/>
      <c r="I756" s="1582"/>
    </row>
    <row r="757" spans="2:9" ht="16">
      <c r="B757" s="1582"/>
      <c r="C757" s="1582"/>
      <c r="D757" s="1584"/>
      <c r="E757" s="1582"/>
      <c r="F757" s="1582"/>
      <c r="G757" s="1582"/>
      <c r="H757" s="1583"/>
      <c r="I757" s="1582"/>
    </row>
    <row r="758" spans="2:9" ht="16">
      <c r="B758" s="1582"/>
      <c r="C758" s="1582"/>
      <c r="D758" s="1584"/>
      <c r="E758" s="1582"/>
      <c r="F758" s="1582"/>
      <c r="G758" s="1582"/>
      <c r="H758" s="1583"/>
      <c r="I758" s="1582"/>
    </row>
    <row r="759" spans="2:9" ht="16">
      <c r="B759" s="1582"/>
      <c r="C759" s="1582"/>
      <c r="D759" s="1584"/>
      <c r="E759" s="1582"/>
      <c r="F759" s="1582"/>
      <c r="G759" s="1582"/>
      <c r="H759" s="1583"/>
      <c r="I759" s="1582"/>
    </row>
    <row r="760" spans="2:9" ht="16">
      <c r="B760" s="1582"/>
      <c r="C760" s="1582"/>
      <c r="D760" s="1584"/>
      <c r="E760" s="1582"/>
      <c r="F760" s="1582"/>
      <c r="G760" s="1582"/>
      <c r="H760" s="1583"/>
      <c r="I760" s="1582"/>
    </row>
    <row r="761" spans="2:9" ht="16">
      <c r="B761" s="1582"/>
      <c r="C761" s="1582"/>
      <c r="D761" s="1584"/>
      <c r="E761" s="1582"/>
      <c r="F761" s="1582"/>
      <c r="G761" s="1582"/>
      <c r="H761" s="1583"/>
      <c r="I761" s="1582"/>
    </row>
    <row r="762" spans="2:9" ht="16">
      <c r="B762" s="1582"/>
      <c r="C762" s="1582"/>
      <c r="D762" s="1584"/>
      <c r="E762" s="1582"/>
      <c r="F762" s="1582"/>
      <c r="G762" s="1582"/>
      <c r="H762" s="1583"/>
      <c r="I762" s="1582"/>
    </row>
    <row r="763" spans="2:9" ht="16">
      <c r="B763" s="1582"/>
      <c r="C763" s="1582"/>
      <c r="D763" s="1584"/>
      <c r="E763" s="1582"/>
      <c r="F763" s="1582"/>
      <c r="G763" s="1582"/>
      <c r="H763" s="1583"/>
      <c r="I763" s="1582"/>
    </row>
    <row r="764" spans="2:9" ht="16">
      <c r="B764" s="1582"/>
      <c r="C764" s="1582"/>
      <c r="D764" s="1584"/>
      <c r="E764" s="1582"/>
      <c r="F764" s="1582"/>
      <c r="G764" s="1582"/>
      <c r="H764" s="1583"/>
      <c r="I764" s="1582"/>
    </row>
    <row r="765" spans="2:9" ht="16">
      <c r="B765" s="1582"/>
      <c r="C765" s="1582"/>
      <c r="D765" s="1584"/>
      <c r="E765" s="1582"/>
      <c r="F765" s="1582"/>
      <c r="G765" s="1582"/>
      <c r="H765" s="1583"/>
      <c r="I765" s="1582"/>
    </row>
    <row r="766" spans="2:9" ht="16">
      <c r="B766" s="1582"/>
      <c r="C766" s="1582"/>
      <c r="D766" s="1584"/>
      <c r="E766" s="1582"/>
      <c r="F766" s="1582"/>
      <c r="G766" s="1582"/>
      <c r="H766" s="1583"/>
      <c r="I766" s="1582"/>
    </row>
    <row r="767" spans="2:9" ht="16">
      <c r="B767" s="1582"/>
      <c r="C767" s="1582"/>
      <c r="D767" s="1584"/>
      <c r="E767" s="1582"/>
      <c r="F767" s="1582"/>
      <c r="G767" s="1582"/>
      <c r="H767" s="1583"/>
      <c r="I767" s="1582"/>
    </row>
    <row r="768" spans="2:9" ht="16">
      <c r="B768" s="1582"/>
      <c r="C768" s="1582"/>
      <c r="D768" s="1584"/>
      <c r="E768" s="1582"/>
      <c r="F768" s="1582"/>
      <c r="G768" s="1582"/>
      <c r="H768" s="1583"/>
      <c r="I768" s="1582"/>
    </row>
    <row r="769" spans="2:9" ht="16">
      <c r="B769" s="1582"/>
      <c r="C769" s="1582"/>
      <c r="D769" s="1584"/>
      <c r="E769" s="1582"/>
      <c r="F769" s="1582"/>
      <c r="G769" s="1582"/>
      <c r="H769" s="1583"/>
      <c r="I769" s="1582"/>
    </row>
    <row r="770" spans="2:9" ht="16">
      <c r="B770" s="1582"/>
      <c r="C770" s="1582"/>
      <c r="D770" s="1584"/>
      <c r="E770" s="1582"/>
      <c r="F770" s="1582"/>
      <c r="G770" s="1582"/>
      <c r="H770" s="1583"/>
      <c r="I770" s="1582"/>
    </row>
    <row r="771" spans="2:9" ht="16">
      <c r="B771" s="1582"/>
      <c r="C771" s="1582"/>
      <c r="D771" s="1584"/>
      <c r="E771" s="1582"/>
      <c r="F771" s="1582"/>
      <c r="G771" s="1582"/>
      <c r="H771" s="1583"/>
      <c r="I771" s="1582"/>
    </row>
    <row r="772" spans="2:9" ht="16">
      <c r="B772" s="1582"/>
      <c r="C772" s="1582"/>
      <c r="D772" s="1584"/>
      <c r="E772" s="1582"/>
      <c r="F772" s="1582"/>
      <c r="G772" s="1582"/>
      <c r="H772" s="1583"/>
      <c r="I772" s="1582"/>
    </row>
    <row r="773" spans="2:9" ht="16">
      <c r="B773" s="1582"/>
      <c r="C773" s="1582"/>
      <c r="D773" s="1584"/>
      <c r="E773" s="1582"/>
      <c r="F773" s="1582"/>
      <c r="G773" s="1582"/>
      <c r="H773" s="1583"/>
      <c r="I773" s="1582"/>
    </row>
    <row r="774" spans="2:9" ht="16">
      <c r="B774" s="1582"/>
      <c r="C774" s="1582"/>
      <c r="D774" s="1584"/>
      <c r="E774" s="1582"/>
      <c r="F774" s="1582"/>
      <c r="G774" s="1582"/>
      <c r="H774" s="1583"/>
      <c r="I774" s="1582"/>
    </row>
    <row r="775" spans="2:9" ht="16">
      <c r="B775" s="1582"/>
      <c r="C775" s="1582"/>
      <c r="D775" s="1584"/>
      <c r="E775" s="1582"/>
      <c r="F775" s="1582"/>
      <c r="G775" s="1582"/>
      <c r="H775" s="1583"/>
      <c r="I775" s="1582"/>
    </row>
    <row r="776" spans="2:9" ht="16">
      <c r="B776" s="1582"/>
      <c r="C776" s="1582"/>
      <c r="D776" s="1584"/>
      <c r="E776" s="1582"/>
      <c r="F776" s="1582"/>
      <c r="G776" s="1582"/>
      <c r="H776" s="1583"/>
      <c r="I776" s="1582"/>
    </row>
    <row r="777" spans="2:9" ht="16">
      <c r="B777" s="1582"/>
      <c r="C777" s="1582"/>
      <c r="D777" s="1584"/>
      <c r="E777" s="1582"/>
      <c r="F777" s="1582"/>
      <c r="G777" s="1582"/>
      <c r="H777" s="1583"/>
      <c r="I777" s="1582"/>
    </row>
    <row r="778" spans="2:9" ht="16">
      <c r="B778" s="1582"/>
      <c r="C778" s="1582"/>
      <c r="D778" s="1584"/>
      <c r="E778" s="1582"/>
      <c r="F778" s="1582"/>
      <c r="G778" s="1582"/>
      <c r="H778" s="1583"/>
      <c r="I778" s="1582"/>
    </row>
    <row r="779" spans="2:9" ht="16">
      <c r="B779" s="1582"/>
      <c r="C779" s="1582"/>
      <c r="D779" s="1584"/>
      <c r="E779" s="1582"/>
      <c r="F779" s="1582"/>
      <c r="G779" s="1582"/>
      <c r="H779" s="1583"/>
      <c r="I779" s="1582"/>
    </row>
    <row r="780" spans="2:9" ht="16">
      <c r="B780" s="1582"/>
      <c r="C780" s="1582"/>
      <c r="D780" s="1584"/>
      <c r="E780" s="1582"/>
      <c r="F780" s="1582"/>
      <c r="G780" s="1582"/>
      <c r="H780" s="1583"/>
      <c r="I780" s="1582"/>
    </row>
    <row r="781" spans="2:9" ht="16">
      <c r="B781" s="1582"/>
      <c r="C781" s="1582"/>
      <c r="D781" s="1584"/>
      <c r="E781" s="1582"/>
      <c r="F781" s="1582"/>
      <c r="G781" s="1582"/>
      <c r="H781" s="1583"/>
      <c r="I781" s="1582"/>
    </row>
    <row r="782" spans="2:9" ht="16">
      <c r="B782" s="1582"/>
      <c r="C782" s="1582"/>
      <c r="D782" s="1584"/>
      <c r="E782" s="1582"/>
      <c r="F782" s="1582"/>
      <c r="G782" s="1582"/>
      <c r="H782" s="1583"/>
      <c r="I782" s="1582"/>
    </row>
    <row r="783" spans="2:9" ht="16">
      <c r="B783" s="1582"/>
      <c r="C783" s="1582"/>
      <c r="D783" s="1584"/>
      <c r="E783" s="1582"/>
      <c r="F783" s="1582"/>
      <c r="G783" s="1582"/>
      <c r="H783" s="1583"/>
      <c r="I783" s="1582"/>
    </row>
    <row r="784" spans="2:9" ht="16">
      <c r="B784" s="1582"/>
      <c r="C784" s="1582"/>
      <c r="D784" s="1584"/>
      <c r="E784" s="1582"/>
      <c r="F784" s="1582"/>
      <c r="G784" s="1582"/>
      <c r="H784" s="1583"/>
      <c r="I784" s="1582"/>
    </row>
    <row r="785" spans="2:9" ht="16">
      <c r="B785" s="1582"/>
      <c r="C785" s="1582"/>
      <c r="D785" s="1584"/>
      <c r="E785" s="1582"/>
      <c r="F785" s="1582"/>
      <c r="G785" s="1582"/>
      <c r="H785" s="1583"/>
      <c r="I785" s="1582"/>
    </row>
    <row r="786" spans="2:9" ht="16">
      <c r="B786" s="1582"/>
      <c r="C786" s="1582"/>
      <c r="D786" s="1584"/>
      <c r="E786" s="1582"/>
      <c r="F786" s="1582"/>
      <c r="G786" s="1582"/>
      <c r="H786" s="1583"/>
      <c r="I786" s="1582"/>
    </row>
    <row r="787" spans="2:9" ht="16">
      <c r="B787" s="1582"/>
      <c r="C787" s="1582"/>
      <c r="D787" s="1584"/>
      <c r="E787" s="1582"/>
      <c r="F787" s="1582"/>
      <c r="G787" s="1582"/>
      <c r="H787" s="1583"/>
      <c r="I787" s="1582"/>
    </row>
    <row r="788" spans="2:9" ht="16">
      <c r="B788" s="1582"/>
      <c r="C788" s="1582"/>
      <c r="D788" s="1584"/>
      <c r="E788" s="1582"/>
      <c r="F788" s="1582"/>
      <c r="G788" s="1582"/>
      <c r="H788" s="1583"/>
      <c r="I788" s="1582"/>
    </row>
    <row r="789" spans="2:9" ht="16">
      <c r="B789" s="1582"/>
      <c r="C789" s="1582"/>
      <c r="D789" s="1584"/>
      <c r="E789" s="1582"/>
      <c r="F789" s="1582"/>
      <c r="G789" s="1582"/>
      <c r="H789" s="1583"/>
      <c r="I789" s="1582"/>
    </row>
    <row r="790" spans="2:9" ht="16">
      <c r="B790" s="1582"/>
      <c r="C790" s="1582"/>
      <c r="D790" s="1584"/>
      <c r="E790" s="1582"/>
      <c r="F790" s="1582"/>
      <c r="G790" s="1582"/>
      <c r="H790" s="1583"/>
      <c r="I790" s="1582"/>
    </row>
    <row r="791" spans="2:9" ht="16">
      <c r="B791" s="1582"/>
      <c r="C791" s="1582"/>
      <c r="D791" s="1584"/>
      <c r="E791" s="1582"/>
      <c r="F791" s="1582"/>
      <c r="G791" s="1582"/>
      <c r="H791" s="1583"/>
      <c r="I791" s="1582"/>
    </row>
    <row r="792" spans="2:9" ht="16">
      <c r="B792" s="1582"/>
      <c r="C792" s="1582"/>
      <c r="D792" s="1584"/>
      <c r="E792" s="1582"/>
      <c r="F792" s="1582"/>
      <c r="G792" s="1582"/>
      <c r="H792" s="1583"/>
      <c r="I792" s="1582"/>
    </row>
    <row r="793" spans="2:9" ht="16">
      <c r="B793" s="1582"/>
      <c r="C793" s="1582"/>
      <c r="D793" s="1584"/>
      <c r="E793" s="1582"/>
      <c r="F793" s="1582"/>
      <c r="G793" s="1582"/>
      <c r="H793" s="1583"/>
      <c r="I793" s="1582"/>
    </row>
    <row r="794" spans="2:9" ht="16">
      <c r="B794" s="1582"/>
      <c r="C794" s="1582"/>
      <c r="D794" s="1584"/>
      <c r="E794" s="1582"/>
      <c r="F794" s="1582"/>
      <c r="G794" s="1582"/>
      <c r="H794" s="1583"/>
      <c r="I794" s="1582"/>
    </row>
    <row r="795" spans="2:9" ht="16">
      <c r="B795" s="1582"/>
      <c r="C795" s="1582"/>
      <c r="D795" s="1584"/>
      <c r="E795" s="1582"/>
      <c r="F795" s="1582"/>
      <c r="G795" s="1582"/>
      <c r="H795" s="1583"/>
      <c r="I795" s="1582"/>
    </row>
    <row r="796" spans="2:9" ht="16">
      <c r="B796" s="1582"/>
      <c r="C796" s="1582"/>
      <c r="D796" s="1584"/>
      <c r="E796" s="1582"/>
      <c r="F796" s="1582"/>
      <c r="G796" s="1582"/>
      <c r="H796" s="1583"/>
      <c r="I796" s="1582"/>
    </row>
    <row r="797" spans="2:9" ht="16">
      <c r="B797" s="1582"/>
      <c r="C797" s="1582"/>
      <c r="D797" s="1584"/>
      <c r="E797" s="1582"/>
      <c r="F797" s="1582"/>
      <c r="G797" s="1582"/>
      <c r="H797" s="1583"/>
      <c r="I797" s="1582"/>
    </row>
    <row r="798" spans="2:9" ht="16">
      <c r="B798" s="1582"/>
      <c r="C798" s="1582"/>
      <c r="D798" s="1584"/>
      <c r="E798" s="1582"/>
      <c r="F798" s="1582"/>
      <c r="G798" s="1582"/>
      <c r="H798" s="1583"/>
      <c r="I798" s="1582"/>
    </row>
    <row r="799" spans="2:9" ht="16">
      <c r="B799" s="1582"/>
      <c r="C799" s="1582"/>
      <c r="D799" s="1584"/>
      <c r="E799" s="1582"/>
      <c r="F799" s="1582"/>
      <c r="G799" s="1582"/>
      <c r="H799" s="1583"/>
      <c r="I799" s="1582"/>
    </row>
    <row r="800" spans="2:9" ht="16">
      <c r="B800" s="1582"/>
      <c r="C800" s="1582"/>
      <c r="D800" s="1584"/>
      <c r="E800" s="1582"/>
      <c r="F800" s="1582"/>
      <c r="G800" s="1582"/>
      <c r="H800" s="1583"/>
      <c r="I800" s="1582"/>
    </row>
    <row r="801" spans="2:9" ht="16">
      <c r="B801" s="1582"/>
      <c r="C801" s="1582"/>
      <c r="D801" s="1584"/>
      <c r="E801" s="1582"/>
      <c r="F801" s="1582"/>
      <c r="G801" s="1582"/>
      <c r="H801" s="1583"/>
      <c r="I801" s="1582"/>
    </row>
    <row r="802" spans="2:9" ht="16">
      <c r="B802" s="1582"/>
      <c r="C802" s="1582"/>
      <c r="D802" s="1584"/>
      <c r="E802" s="1582"/>
      <c r="F802" s="1582"/>
      <c r="G802" s="1582"/>
      <c r="H802" s="1583"/>
      <c r="I802" s="1582"/>
    </row>
    <row r="803" spans="2:9" ht="16">
      <c r="B803" s="1582"/>
      <c r="C803" s="1582"/>
      <c r="D803" s="1584"/>
      <c r="E803" s="1582"/>
      <c r="F803" s="1582"/>
      <c r="G803" s="1582"/>
      <c r="H803" s="1583"/>
      <c r="I803" s="1582"/>
    </row>
    <row r="804" spans="2:9" ht="16">
      <c r="B804" s="1582"/>
      <c r="C804" s="1582"/>
      <c r="D804" s="1584"/>
      <c r="E804" s="1582"/>
      <c r="F804" s="1582"/>
      <c r="G804" s="1582"/>
      <c r="H804" s="1583"/>
      <c r="I804" s="1582"/>
    </row>
    <row r="805" spans="2:9" ht="16">
      <c r="B805" s="1582"/>
      <c r="C805" s="1582"/>
      <c r="D805" s="1584"/>
      <c r="E805" s="1582"/>
      <c r="F805" s="1582"/>
      <c r="G805" s="1582"/>
      <c r="H805" s="1583"/>
      <c r="I805" s="1582"/>
    </row>
    <row r="806" spans="2:9" ht="16">
      <c r="B806" s="1582"/>
      <c r="C806" s="1582"/>
      <c r="D806" s="1584"/>
      <c r="E806" s="1582"/>
      <c r="F806" s="1582"/>
      <c r="G806" s="1582"/>
      <c r="H806" s="1583"/>
      <c r="I806" s="1582"/>
    </row>
    <row r="807" spans="2:9" ht="16">
      <c r="B807" s="1582"/>
      <c r="C807" s="1582"/>
      <c r="D807" s="1584"/>
      <c r="E807" s="1582"/>
      <c r="F807" s="1582"/>
      <c r="G807" s="1582"/>
      <c r="H807" s="1583"/>
      <c r="I807" s="1582"/>
    </row>
    <row r="808" spans="2:9" ht="16">
      <c r="B808" s="1582"/>
      <c r="C808" s="1582"/>
      <c r="D808" s="1584"/>
      <c r="E808" s="1582"/>
      <c r="F808" s="1582"/>
      <c r="G808" s="1582"/>
      <c r="H808" s="1583"/>
      <c r="I808" s="1582"/>
    </row>
    <row r="809" spans="2:9" ht="16">
      <c r="B809" s="1582"/>
      <c r="C809" s="1582"/>
      <c r="D809" s="1584"/>
      <c r="E809" s="1582"/>
      <c r="F809" s="1582"/>
      <c r="G809" s="1582"/>
      <c r="H809" s="1583"/>
      <c r="I809" s="1582"/>
    </row>
    <row r="810" spans="2:9" ht="16">
      <c r="B810" s="1582"/>
      <c r="C810" s="1582"/>
      <c r="D810" s="1584"/>
      <c r="E810" s="1582"/>
      <c r="F810" s="1582"/>
      <c r="G810" s="1582"/>
      <c r="H810" s="1583"/>
      <c r="I810" s="1582"/>
    </row>
    <row r="811" spans="2:9" ht="16">
      <c r="B811" s="1582"/>
      <c r="C811" s="1582"/>
      <c r="D811" s="1584"/>
      <c r="E811" s="1582"/>
      <c r="F811" s="1582"/>
      <c r="G811" s="1582"/>
      <c r="H811" s="1583"/>
      <c r="I811" s="1582"/>
    </row>
    <row r="812" spans="2:9" ht="16">
      <c r="B812" s="1582"/>
      <c r="C812" s="1582"/>
      <c r="D812" s="1584"/>
      <c r="E812" s="1582"/>
      <c r="F812" s="1582"/>
      <c r="G812" s="1582"/>
      <c r="H812" s="1583"/>
      <c r="I812" s="1582"/>
    </row>
    <row r="813" spans="2:9" ht="16">
      <c r="B813" s="1582"/>
      <c r="C813" s="1582"/>
      <c r="D813" s="1584"/>
      <c r="E813" s="1582"/>
      <c r="F813" s="1582"/>
      <c r="G813" s="1582"/>
      <c r="H813" s="1583"/>
      <c r="I813" s="1582"/>
    </row>
    <row r="814" spans="2:9" ht="16">
      <c r="B814" s="1582"/>
      <c r="C814" s="1582"/>
      <c r="D814" s="1584"/>
      <c r="E814" s="1582"/>
      <c r="F814" s="1582"/>
      <c r="G814" s="1582"/>
      <c r="H814" s="1583"/>
      <c r="I814" s="1582"/>
    </row>
    <row r="815" spans="2:9" ht="16">
      <c r="B815" s="1582"/>
      <c r="C815" s="1582"/>
      <c r="D815" s="1584"/>
      <c r="E815" s="1582"/>
      <c r="F815" s="1582"/>
      <c r="G815" s="1582"/>
      <c r="H815" s="1583"/>
      <c r="I815" s="1582"/>
    </row>
    <row r="816" spans="2:9" ht="16">
      <c r="B816" s="1582"/>
      <c r="C816" s="1582"/>
      <c r="D816" s="1584"/>
      <c r="E816" s="1582"/>
      <c r="F816" s="1582"/>
      <c r="G816" s="1582"/>
      <c r="H816" s="1583"/>
      <c r="I816" s="1582"/>
    </row>
    <row r="817" spans="2:9" ht="16">
      <c r="B817" s="1582"/>
      <c r="C817" s="1582"/>
      <c r="D817" s="1584"/>
      <c r="E817" s="1582"/>
      <c r="F817" s="1582"/>
      <c r="G817" s="1582"/>
      <c r="H817" s="1583"/>
      <c r="I817" s="1582"/>
    </row>
    <row r="818" spans="2:9" ht="16">
      <c r="B818" s="1582"/>
      <c r="C818" s="1582"/>
      <c r="D818" s="1584"/>
      <c r="E818" s="1582"/>
      <c r="F818" s="1582"/>
      <c r="G818" s="1582"/>
      <c r="H818" s="1583"/>
      <c r="I818" s="1582"/>
    </row>
    <row r="819" spans="2:9" ht="16">
      <c r="B819" s="1582"/>
      <c r="C819" s="1582"/>
      <c r="D819" s="1584"/>
      <c r="E819" s="1582"/>
      <c r="F819" s="1582"/>
      <c r="G819" s="1582"/>
      <c r="H819" s="1583"/>
      <c r="I819" s="1582"/>
    </row>
    <row r="820" spans="2:9" ht="16">
      <c r="B820" s="1582"/>
      <c r="C820" s="1582"/>
      <c r="D820" s="1584"/>
      <c r="E820" s="1582"/>
      <c r="F820" s="1582"/>
      <c r="G820" s="1582"/>
      <c r="H820" s="1583"/>
      <c r="I820" s="1582"/>
    </row>
    <row r="821" spans="2:9" ht="16">
      <c r="B821" s="1582"/>
      <c r="C821" s="1582"/>
      <c r="D821" s="1584"/>
      <c r="E821" s="1582"/>
      <c r="F821" s="1582"/>
      <c r="G821" s="1582"/>
      <c r="H821" s="1583"/>
      <c r="I821" s="1582"/>
    </row>
    <row r="822" spans="2:9" ht="16">
      <c r="B822" s="1582"/>
      <c r="C822" s="1582"/>
      <c r="D822" s="1584"/>
      <c r="E822" s="1582"/>
      <c r="F822" s="1582"/>
      <c r="G822" s="1582"/>
      <c r="H822" s="1583"/>
      <c r="I822" s="1582"/>
    </row>
    <row r="823" spans="2:9" ht="16">
      <c r="B823" s="1582"/>
      <c r="C823" s="1582"/>
      <c r="D823" s="1584"/>
      <c r="E823" s="1582"/>
      <c r="F823" s="1582"/>
      <c r="G823" s="1582"/>
      <c r="H823" s="1583"/>
      <c r="I823" s="1582"/>
    </row>
    <row r="824" spans="2:9" ht="16">
      <c r="B824" s="1582"/>
      <c r="C824" s="1582"/>
      <c r="D824" s="1584"/>
      <c r="E824" s="1582"/>
      <c r="F824" s="1582"/>
      <c r="G824" s="1582"/>
      <c r="H824" s="1583"/>
      <c r="I824" s="1582"/>
    </row>
    <row r="825" spans="2:9" ht="16">
      <c r="B825" s="1582"/>
      <c r="C825" s="1582"/>
      <c r="D825" s="1584"/>
      <c r="E825" s="1582"/>
      <c r="F825" s="1582"/>
      <c r="G825" s="1582"/>
      <c r="H825" s="1583"/>
      <c r="I825" s="1582"/>
    </row>
    <row r="826" spans="2:9" ht="16">
      <c r="B826" s="1582"/>
      <c r="C826" s="1582"/>
      <c r="D826" s="1584"/>
      <c r="E826" s="1582"/>
      <c r="F826" s="1582"/>
      <c r="G826" s="1582"/>
      <c r="H826" s="1583"/>
      <c r="I826" s="1582"/>
    </row>
    <row r="827" spans="2:9" ht="16">
      <c r="B827" s="1582"/>
      <c r="C827" s="1582"/>
      <c r="D827" s="1584"/>
      <c r="E827" s="1582"/>
      <c r="F827" s="1582"/>
      <c r="G827" s="1582"/>
      <c r="H827" s="1583"/>
      <c r="I827" s="1582"/>
    </row>
    <row r="828" spans="2:9" ht="16">
      <c r="B828" s="1582"/>
      <c r="C828" s="1582"/>
      <c r="D828" s="1584"/>
      <c r="E828" s="1582"/>
      <c r="F828" s="1582"/>
      <c r="G828" s="1582"/>
      <c r="H828" s="1583"/>
      <c r="I828" s="1582"/>
    </row>
    <row r="829" spans="2:9" ht="16">
      <c r="B829" s="1582"/>
      <c r="C829" s="1582"/>
      <c r="D829" s="1584"/>
      <c r="E829" s="1582"/>
      <c r="F829" s="1582"/>
      <c r="G829" s="1582"/>
      <c r="H829" s="1583"/>
      <c r="I829" s="1582"/>
    </row>
    <row r="830" spans="2:9" ht="16">
      <c r="B830" s="1582"/>
      <c r="C830" s="1582"/>
      <c r="D830" s="1584"/>
      <c r="E830" s="1582"/>
      <c r="F830" s="1582"/>
      <c r="G830" s="1582"/>
      <c r="H830" s="1583"/>
      <c r="I830" s="1582"/>
    </row>
    <row r="831" spans="2:9" ht="16">
      <c r="B831" s="1582"/>
      <c r="C831" s="1582"/>
      <c r="D831" s="1584"/>
      <c r="E831" s="1582"/>
      <c r="F831" s="1582"/>
      <c r="G831" s="1582"/>
      <c r="H831" s="1583"/>
      <c r="I831" s="1582"/>
    </row>
    <row r="832" spans="2:9" ht="16">
      <c r="B832" s="1582"/>
      <c r="C832" s="1582"/>
      <c r="D832" s="1584"/>
      <c r="E832" s="1582"/>
      <c r="F832" s="1582"/>
      <c r="G832" s="1582"/>
      <c r="H832" s="1583"/>
      <c r="I832" s="1582"/>
    </row>
    <row r="833" spans="2:9" ht="16">
      <c r="B833" s="1582"/>
      <c r="C833" s="1582"/>
      <c r="D833" s="1584"/>
      <c r="E833" s="1582"/>
      <c r="F833" s="1582"/>
      <c r="G833" s="1582"/>
      <c r="H833" s="1583"/>
      <c r="I833" s="1582"/>
    </row>
    <row r="834" spans="2:9" ht="16">
      <c r="B834" s="1582"/>
      <c r="C834" s="1582"/>
      <c r="D834" s="1584"/>
      <c r="E834" s="1582"/>
      <c r="F834" s="1582"/>
      <c r="G834" s="1582"/>
      <c r="H834" s="1583"/>
      <c r="I834" s="1582"/>
    </row>
    <row r="835" spans="2:9" ht="16">
      <c r="B835" s="1582"/>
      <c r="C835" s="1582"/>
      <c r="D835" s="1584"/>
      <c r="E835" s="1582"/>
      <c r="F835" s="1582"/>
      <c r="G835" s="1582"/>
      <c r="H835" s="1583"/>
      <c r="I835" s="1582"/>
    </row>
    <row r="836" spans="2:9" ht="16">
      <c r="B836" s="1582"/>
      <c r="C836" s="1582"/>
      <c r="D836" s="1584"/>
      <c r="E836" s="1582"/>
      <c r="F836" s="1582"/>
      <c r="G836" s="1582"/>
      <c r="H836" s="1583"/>
      <c r="I836" s="1582"/>
    </row>
    <row r="837" spans="2:9" ht="16">
      <c r="B837" s="1582"/>
      <c r="C837" s="1582"/>
      <c r="D837" s="1584"/>
      <c r="E837" s="1582"/>
      <c r="F837" s="1582"/>
      <c r="G837" s="1582"/>
      <c r="H837" s="1583"/>
      <c r="I837" s="1582"/>
    </row>
    <row r="838" spans="2:9" ht="16">
      <c r="B838" s="1582"/>
      <c r="C838" s="1582"/>
      <c r="D838" s="1584"/>
      <c r="E838" s="1582"/>
      <c r="F838" s="1582"/>
      <c r="G838" s="1582"/>
      <c r="H838" s="1583"/>
      <c r="I838" s="1582"/>
    </row>
    <row r="839" spans="2:9" ht="16">
      <c r="B839" s="1582"/>
      <c r="C839" s="1582"/>
      <c r="D839" s="1584"/>
      <c r="E839" s="1582"/>
      <c r="F839" s="1582"/>
      <c r="G839" s="1582"/>
      <c r="H839" s="1583"/>
      <c r="I839" s="1582"/>
    </row>
    <row r="840" spans="2:9" ht="16">
      <c r="B840" s="1582"/>
      <c r="C840" s="1582"/>
      <c r="D840" s="1584"/>
      <c r="E840" s="1582"/>
      <c r="F840" s="1582"/>
      <c r="G840" s="1582"/>
      <c r="H840" s="1583"/>
      <c r="I840" s="1582"/>
    </row>
    <row r="841" spans="2:9" ht="16">
      <c r="B841" s="1582"/>
      <c r="C841" s="1582"/>
      <c r="D841" s="1584"/>
      <c r="E841" s="1582"/>
      <c r="F841" s="1582"/>
      <c r="G841" s="1582"/>
      <c r="H841" s="1583"/>
      <c r="I841" s="1582"/>
    </row>
    <row r="842" spans="2:9" ht="16">
      <c r="B842" s="1582"/>
      <c r="C842" s="1582"/>
      <c r="D842" s="1584"/>
      <c r="E842" s="1582"/>
      <c r="F842" s="1582"/>
      <c r="G842" s="1582"/>
      <c r="H842" s="1583"/>
      <c r="I842" s="1582"/>
    </row>
    <row r="843" spans="2:9" ht="16">
      <c r="B843" s="1582"/>
      <c r="C843" s="1582"/>
      <c r="D843" s="1584"/>
      <c r="E843" s="1582"/>
      <c r="F843" s="1582"/>
      <c r="G843" s="1582"/>
      <c r="H843" s="1583"/>
      <c r="I843" s="1582"/>
    </row>
    <row r="844" spans="2:9" ht="16">
      <c r="B844" s="1582"/>
      <c r="C844" s="1582"/>
      <c r="D844" s="1584"/>
      <c r="E844" s="1582"/>
      <c r="F844" s="1582"/>
      <c r="G844" s="1582"/>
      <c r="H844" s="1583"/>
      <c r="I844" s="1582"/>
    </row>
    <row r="845" spans="2:9" ht="16">
      <c r="B845" s="1582"/>
      <c r="C845" s="1582"/>
      <c r="D845" s="1584"/>
      <c r="E845" s="1582"/>
      <c r="F845" s="1582"/>
      <c r="G845" s="1582"/>
      <c r="H845" s="1583"/>
      <c r="I845" s="1582"/>
    </row>
    <row r="846" spans="2:9" ht="16">
      <c r="B846" s="1582"/>
      <c r="C846" s="1582"/>
      <c r="D846" s="1584"/>
      <c r="E846" s="1582"/>
      <c r="F846" s="1582"/>
      <c r="G846" s="1582"/>
      <c r="H846" s="1583"/>
      <c r="I846" s="1582"/>
    </row>
    <row r="847" spans="2:9" ht="16">
      <c r="B847" s="1582"/>
      <c r="C847" s="1582"/>
      <c r="D847" s="1584"/>
      <c r="E847" s="1582"/>
      <c r="F847" s="1582"/>
      <c r="G847" s="1582"/>
      <c r="H847" s="1583"/>
      <c r="I847" s="1582"/>
    </row>
    <row r="848" spans="2:9" ht="16">
      <c r="B848" s="1582"/>
      <c r="C848" s="1582"/>
      <c r="D848" s="1584"/>
      <c r="E848" s="1582"/>
      <c r="F848" s="1582"/>
      <c r="G848" s="1582"/>
      <c r="H848" s="1583"/>
      <c r="I848" s="1582"/>
    </row>
    <row r="849" spans="2:9" ht="16">
      <c r="B849" s="1582"/>
      <c r="C849" s="1582"/>
      <c r="D849" s="1584"/>
      <c r="E849" s="1582"/>
      <c r="F849" s="1582"/>
      <c r="G849" s="1582"/>
      <c r="H849" s="1583"/>
      <c r="I849" s="1582"/>
    </row>
    <row r="850" spans="2:9" ht="16">
      <c r="B850" s="1582"/>
      <c r="C850" s="1582"/>
      <c r="D850" s="1584"/>
      <c r="E850" s="1582"/>
      <c r="F850" s="1582"/>
      <c r="G850" s="1582"/>
      <c r="H850" s="1583"/>
      <c r="I850" s="1582"/>
    </row>
    <row r="851" spans="2:9" ht="16">
      <c r="B851" s="1582"/>
      <c r="C851" s="1582"/>
      <c r="D851" s="1584"/>
      <c r="E851" s="1582"/>
      <c r="F851" s="1582"/>
      <c r="G851" s="1582"/>
      <c r="H851" s="1583"/>
      <c r="I851" s="1582"/>
    </row>
    <row r="852" spans="2:9" ht="16">
      <c r="B852" s="1582"/>
      <c r="C852" s="1582"/>
      <c r="D852" s="1584"/>
      <c r="E852" s="1582"/>
      <c r="F852" s="1582"/>
      <c r="G852" s="1582"/>
      <c r="H852" s="1583"/>
      <c r="I852" s="1582"/>
    </row>
    <row r="853" spans="2:9" ht="16">
      <c r="B853" s="1582"/>
      <c r="C853" s="1582"/>
      <c r="D853" s="1584"/>
      <c r="E853" s="1582"/>
      <c r="F853" s="1582"/>
      <c r="G853" s="1582"/>
      <c r="H853" s="1583"/>
      <c r="I853" s="1582"/>
    </row>
    <row r="854" spans="2:9" ht="16">
      <c r="B854" s="1582"/>
      <c r="C854" s="1582"/>
      <c r="D854" s="1584"/>
      <c r="E854" s="1582"/>
      <c r="F854" s="1582"/>
      <c r="G854" s="1582"/>
      <c r="H854" s="1583"/>
      <c r="I854" s="1582"/>
    </row>
    <row r="855" spans="2:9" ht="16">
      <c r="B855" s="1582"/>
      <c r="C855" s="1582"/>
      <c r="D855" s="1584"/>
      <c r="E855" s="1582"/>
      <c r="F855" s="1582"/>
      <c r="G855" s="1582"/>
      <c r="H855" s="1583"/>
      <c r="I855" s="1582"/>
    </row>
    <row r="856" spans="2:9" ht="16">
      <c r="B856" s="1582"/>
      <c r="C856" s="1582"/>
      <c r="D856" s="1584"/>
      <c r="E856" s="1582"/>
      <c r="F856" s="1582"/>
      <c r="G856" s="1582"/>
      <c r="H856" s="1583"/>
      <c r="I856" s="1582"/>
    </row>
    <row r="857" spans="2:9" ht="16">
      <c r="B857" s="1582"/>
      <c r="C857" s="1582"/>
      <c r="D857" s="1584"/>
      <c r="E857" s="1582"/>
      <c r="F857" s="1582"/>
      <c r="G857" s="1582"/>
      <c r="H857" s="1583"/>
      <c r="I857" s="1582"/>
    </row>
    <row r="858" spans="2:9" ht="16">
      <c r="B858" s="1582"/>
      <c r="C858" s="1582"/>
      <c r="D858" s="1584"/>
      <c r="E858" s="1582"/>
      <c r="F858" s="1582"/>
      <c r="G858" s="1582"/>
      <c r="H858" s="1583"/>
      <c r="I858" s="1582"/>
    </row>
    <row r="859" spans="2:9" ht="16">
      <c r="B859" s="1582"/>
      <c r="C859" s="1582"/>
      <c r="D859" s="1584"/>
      <c r="E859" s="1582"/>
      <c r="F859" s="1582"/>
      <c r="G859" s="1582"/>
      <c r="H859" s="1583"/>
      <c r="I859" s="1582"/>
    </row>
    <row r="860" spans="2:9" ht="16">
      <c r="B860" s="1582"/>
      <c r="C860" s="1582"/>
      <c r="D860" s="1584"/>
      <c r="E860" s="1582"/>
      <c r="F860" s="1582"/>
      <c r="G860" s="1582"/>
      <c r="H860" s="1583"/>
      <c r="I860" s="1582"/>
    </row>
    <row r="861" spans="2:9" ht="16">
      <c r="B861" s="1582"/>
      <c r="C861" s="1582"/>
      <c r="D861" s="1584"/>
      <c r="E861" s="1582"/>
      <c r="F861" s="1582"/>
      <c r="G861" s="1582"/>
      <c r="H861" s="1583"/>
      <c r="I861" s="1582"/>
    </row>
    <row r="862" spans="2:9" ht="16">
      <c r="B862" s="1582"/>
      <c r="C862" s="1582"/>
      <c r="D862" s="1584"/>
      <c r="E862" s="1582"/>
      <c r="F862" s="1582"/>
      <c r="G862" s="1582"/>
      <c r="H862" s="1583"/>
      <c r="I862" s="1582"/>
    </row>
    <row r="863" spans="2:9" ht="16">
      <c r="B863" s="1582"/>
      <c r="C863" s="1582"/>
      <c r="D863" s="1584"/>
      <c r="E863" s="1582"/>
      <c r="F863" s="1582"/>
      <c r="G863" s="1582"/>
      <c r="H863" s="1583"/>
      <c r="I863" s="1582"/>
    </row>
    <row r="864" spans="2:9" ht="16">
      <c r="B864" s="1582"/>
      <c r="C864" s="1582"/>
      <c r="D864" s="1584"/>
      <c r="E864" s="1582"/>
      <c r="F864" s="1582"/>
      <c r="G864" s="1582"/>
      <c r="H864" s="1583"/>
      <c r="I864" s="1582"/>
    </row>
    <row r="865" spans="2:9" ht="16">
      <c r="B865" s="1582"/>
      <c r="C865" s="1582"/>
      <c r="D865" s="1584"/>
      <c r="E865" s="1582"/>
      <c r="F865" s="1582"/>
      <c r="G865" s="1582"/>
      <c r="H865" s="1583"/>
      <c r="I865" s="1582"/>
    </row>
    <row r="866" spans="2:9" ht="16">
      <c r="B866" s="1582"/>
      <c r="C866" s="1582"/>
      <c r="D866" s="1584"/>
      <c r="E866" s="1582"/>
      <c r="F866" s="1582"/>
      <c r="G866" s="1582"/>
      <c r="H866" s="1583"/>
      <c r="I866" s="1582"/>
    </row>
    <row r="867" spans="2:9" ht="16">
      <c r="B867" s="1582"/>
      <c r="C867" s="1582"/>
      <c r="D867" s="1584"/>
      <c r="E867" s="1582"/>
      <c r="F867" s="1582"/>
      <c r="G867" s="1582"/>
      <c r="H867" s="1583"/>
      <c r="I867" s="1582"/>
    </row>
    <row r="868" spans="2:9" ht="16">
      <c r="B868" s="1582"/>
      <c r="C868" s="1582"/>
      <c r="D868" s="1584"/>
      <c r="E868" s="1582"/>
      <c r="F868" s="1582"/>
      <c r="G868" s="1582"/>
      <c r="H868" s="1583"/>
      <c r="I868" s="1582"/>
    </row>
    <row r="869" spans="2:9" ht="16">
      <c r="B869" s="1582"/>
      <c r="C869" s="1582"/>
      <c r="D869" s="1584"/>
      <c r="E869" s="1582"/>
      <c r="F869" s="1582"/>
      <c r="G869" s="1582"/>
      <c r="H869" s="1583"/>
      <c r="I869" s="1582"/>
    </row>
    <row r="870" spans="2:9" ht="16">
      <c r="B870" s="1582"/>
      <c r="C870" s="1582"/>
      <c r="D870" s="1584"/>
      <c r="E870" s="1582"/>
      <c r="F870" s="1582"/>
      <c r="G870" s="1582"/>
      <c r="H870" s="1583"/>
      <c r="I870" s="1582"/>
    </row>
    <row r="871" spans="2:9" ht="16">
      <c r="B871" s="1582"/>
      <c r="C871" s="1582"/>
      <c r="D871" s="1584"/>
      <c r="E871" s="1582"/>
      <c r="F871" s="1582"/>
      <c r="G871" s="1582"/>
      <c r="H871" s="1583"/>
      <c r="I871" s="1582"/>
    </row>
    <row r="872" spans="2:9" ht="16">
      <c r="B872" s="1582"/>
      <c r="C872" s="1582"/>
      <c r="D872" s="1584"/>
      <c r="E872" s="1582"/>
      <c r="F872" s="1582"/>
      <c r="G872" s="1582"/>
      <c r="H872" s="1583"/>
      <c r="I872" s="1582"/>
    </row>
    <row r="873" spans="2:9" ht="16">
      <c r="B873" s="1582"/>
      <c r="C873" s="1582"/>
      <c r="D873" s="1584"/>
      <c r="E873" s="1582"/>
      <c r="F873" s="1582"/>
      <c r="G873" s="1582"/>
      <c r="H873" s="1583"/>
      <c r="I873" s="1582"/>
    </row>
    <row r="874" spans="2:9" ht="16">
      <c r="B874" s="1582"/>
      <c r="C874" s="1582"/>
      <c r="D874" s="1584"/>
      <c r="E874" s="1582"/>
      <c r="F874" s="1582"/>
      <c r="G874" s="1582"/>
      <c r="H874" s="1583"/>
      <c r="I874" s="1582"/>
    </row>
    <row r="875" spans="2:9" ht="16">
      <c r="B875" s="1582"/>
      <c r="C875" s="1582"/>
      <c r="D875" s="1584"/>
      <c r="E875" s="1582"/>
      <c r="F875" s="1582"/>
      <c r="G875" s="1582"/>
      <c r="H875" s="1583"/>
      <c r="I875" s="1582"/>
    </row>
    <row r="876" spans="2:9" ht="16">
      <c r="B876" s="1582"/>
      <c r="C876" s="1582"/>
      <c r="D876" s="1584"/>
      <c r="E876" s="1582"/>
      <c r="F876" s="1582"/>
      <c r="G876" s="1582"/>
      <c r="H876" s="1583"/>
      <c r="I876" s="1582"/>
    </row>
    <row r="877" spans="2:9" ht="16">
      <c r="B877" s="1582"/>
      <c r="C877" s="1582"/>
      <c r="D877" s="1584"/>
      <c r="E877" s="1582"/>
      <c r="F877" s="1582"/>
      <c r="G877" s="1582"/>
      <c r="H877" s="1583"/>
      <c r="I877" s="1582"/>
    </row>
    <row r="878" spans="2:9" ht="16">
      <c r="B878" s="1582"/>
      <c r="C878" s="1582"/>
      <c r="D878" s="1584"/>
      <c r="E878" s="1582"/>
      <c r="F878" s="1582"/>
      <c r="G878" s="1582"/>
      <c r="H878" s="1583"/>
      <c r="I878" s="1582"/>
    </row>
    <row r="879" spans="2:9" ht="16">
      <c r="B879" s="1582"/>
      <c r="C879" s="1582"/>
      <c r="D879" s="1584"/>
      <c r="E879" s="1582"/>
      <c r="F879" s="1582"/>
      <c r="G879" s="1582"/>
      <c r="H879" s="1583"/>
      <c r="I879" s="1582"/>
    </row>
    <row r="880" spans="2:9" ht="16">
      <c r="B880" s="1582"/>
      <c r="C880" s="1582"/>
      <c r="D880" s="1584"/>
      <c r="E880" s="1582"/>
      <c r="F880" s="1582"/>
      <c r="G880" s="1582"/>
      <c r="H880" s="1583"/>
      <c r="I880" s="1582"/>
    </row>
    <row r="881" spans="2:9" ht="16">
      <c r="B881" s="1582"/>
      <c r="C881" s="1582"/>
      <c r="D881" s="1584"/>
      <c r="E881" s="1582"/>
      <c r="F881" s="1582"/>
      <c r="G881" s="1582"/>
      <c r="H881" s="1583"/>
      <c r="I881" s="1582"/>
    </row>
    <row r="882" spans="2:9" ht="16">
      <c r="B882" s="1582"/>
      <c r="C882" s="1582"/>
      <c r="D882" s="1584"/>
      <c r="E882" s="1582"/>
      <c r="F882" s="1582"/>
      <c r="G882" s="1582"/>
      <c r="H882" s="1583"/>
      <c r="I882" s="1582"/>
    </row>
    <row r="883" spans="2:9" ht="16">
      <c r="B883" s="1582"/>
      <c r="C883" s="1582"/>
      <c r="D883" s="1584"/>
      <c r="E883" s="1582"/>
      <c r="F883" s="1582"/>
      <c r="G883" s="1582"/>
      <c r="H883" s="1583"/>
      <c r="I883" s="1582"/>
    </row>
    <row r="884" spans="2:9" ht="16">
      <c r="B884" s="1582"/>
      <c r="C884" s="1582"/>
      <c r="D884" s="1584"/>
      <c r="E884" s="1582"/>
      <c r="F884" s="1582"/>
      <c r="G884" s="1582"/>
      <c r="H884" s="1583"/>
      <c r="I884" s="1582"/>
    </row>
    <row r="885" spans="2:9" ht="16">
      <c r="B885" s="1582"/>
      <c r="C885" s="1582"/>
      <c r="D885" s="1584"/>
      <c r="E885" s="1582"/>
      <c r="F885" s="1582"/>
      <c r="G885" s="1582"/>
      <c r="H885" s="1583"/>
      <c r="I885" s="1582"/>
    </row>
    <row r="886" spans="2:9" ht="16">
      <c r="B886" s="1582"/>
      <c r="C886" s="1582"/>
      <c r="D886" s="1584"/>
      <c r="E886" s="1582"/>
      <c r="F886" s="1582"/>
      <c r="G886" s="1582"/>
      <c r="H886" s="1583"/>
      <c r="I886" s="1582"/>
    </row>
    <row r="887" spans="2:9" ht="16">
      <c r="B887" s="1582"/>
      <c r="C887" s="1582"/>
      <c r="D887" s="1584"/>
      <c r="E887" s="1582"/>
      <c r="F887" s="1582"/>
      <c r="G887" s="1582"/>
      <c r="H887" s="1583"/>
      <c r="I887" s="1582"/>
    </row>
    <row r="888" spans="2:9" ht="16">
      <c r="B888" s="1582"/>
      <c r="C888" s="1582"/>
      <c r="D888" s="1584"/>
      <c r="E888" s="1582"/>
      <c r="F888" s="1582"/>
      <c r="G888" s="1582"/>
      <c r="H888" s="1583"/>
      <c r="I888" s="1582"/>
    </row>
    <row r="889" spans="2:9" ht="16">
      <c r="B889" s="1582"/>
      <c r="C889" s="1582"/>
      <c r="D889" s="1584"/>
      <c r="E889" s="1582"/>
      <c r="F889" s="1582"/>
      <c r="G889" s="1582"/>
      <c r="H889" s="1583"/>
      <c r="I889" s="1582"/>
    </row>
    <row r="890" spans="2:9" ht="16">
      <c r="B890" s="1582"/>
      <c r="C890" s="1582"/>
      <c r="D890" s="1584"/>
      <c r="E890" s="1582"/>
      <c r="F890" s="1582"/>
      <c r="G890" s="1582"/>
      <c r="H890" s="1583"/>
      <c r="I890" s="1582"/>
    </row>
    <row r="891" spans="2:9" ht="16">
      <c r="B891" s="1582"/>
      <c r="C891" s="1582"/>
      <c r="D891" s="1584"/>
      <c r="E891" s="1582"/>
      <c r="F891" s="1582"/>
      <c r="G891" s="1582"/>
      <c r="H891" s="1583"/>
      <c r="I891" s="1582"/>
    </row>
    <row r="892" spans="2:9" ht="16">
      <c r="B892" s="1582"/>
      <c r="C892" s="1582"/>
      <c r="D892" s="1584"/>
      <c r="E892" s="1582"/>
      <c r="F892" s="1582"/>
      <c r="G892" s="1582"/>
      <c r="H892" s="1583"/>
      <c r="I892" s="1582"/>
    </row>
    <row r="893" spans="2:9" ht="16">
      <c r="B893" s="1582"/>
      <c r="C893" s="1582"/>
      <c r="D893" s="1584"/>
      <c r="E893" s="1582"/>
      <c r="F893" s="1582"/>
      <c r="G893" s="1582"/>
      <c r="H893" s="1583"/>
      <c r="I893" s="1582"/>
    </row>
    <row r="894" spans="2:9" ht="16">
      <c r="B894" s="1582"/>
      <c r="C894" s="1582"/>
      <c r="D894" s="1584"/>
      <c r="E894" s="1582"/>
      <c r="F894" s="1582"/>
      <c r="G894" s="1582"/>
      <c r="H894" s="1583"/>
      <c r="I894" s="1582"/>
    </row>
    <row r="895" spans="2:9" ht="16">
      <c r="B895" s="1582"/>
      <c r="C895" s="1582"/>
      <c r="D895" s="1584"/>
      <c r="E895" s="1582"/>
      <c r="F895" s="1582"/>
      <c r="G895" s="1582"/>
      <c r="H895" s="1583"/>
      <c r="I895" s="1582"/>
    </row>
    <row r="896" spans="2:9" ht="16">
      <c r="B896" s="1582"/>
      <c r="C896" s="1582"/>
      <c r="D896" s="1584"/>
      <c r="E896" s="1582"/>
      <c r="F896" s="1582"/>
      <c r="G896" s="1582"/>
      <c r="H896" s="1583"/>
      <c r="I896" s="1582"/>
    </row>
    <row r="897" spans="2:9" ht="16">
      <c r="B897" s="1582"/>
      <c r="C897" s="1582"/>
      <c r="D897" s="1584"/>
      <c r="E897" s="1582"/>
      <c r="F897" s="1582"/>
      <c r="G897" s="1582"/>
      <c r="H897" s="1583"/>
      <c r="I897" s="1582"/>
    </row>
    <row r="898" spans="2:9" ht="16">
      <c r="B898" s="1582"/>
      <c r="C898" s="1582"/>
      <c r="D898" s="1584"/>
      <c r="E898" s="1582"/>
      <c r="F898" s="1582"/>
      <c r="G898" s="1582"/>
      <c r="H898" s="1583"/>
      <c r="I898" s="1582"/>
    </row>
    <row r="899" spans="2:9" ht="16">
      <c r="B899" s="1582"/>
      <c r="C899" s="1582"/>
      <c r="D899" s="1584"/>
      <c r="E899" s="1582"/>
      <c r="F899" s="1582"/>
      <c r="G899" s="1582"/>
      <c r="H899" s="1583"/>
      <c r="I899" s="1582"/>
    </row>
    <row r="900" spans="2:9" ht="16">
      <c r="B900" s="1582"/>
      <c r="C900" s="1582"/>
      <c r="D900" s="1584"/>
      <c r="E900" s="1582"/>
      <c r="F900" s="1582"/>
      <c r="G900" s="1582"/>
      <c r="H900" s="1583"/>
      <c r="I900" s="1582"/>
    </row>
    <row r="901" spans="2:9" ht="16">
      <c r="B901" s="1582"/>
      <c r="C901" s="1582"/>
      <c r="D901" s="1584"/>
      <c r="E901" s="1582"/>
      <c r="F901" s="1582"/>
      <c r="G901" s="1582"/>
      <c r="H901" s="1583"/>
      <c r="I901" s="1582"/>
    </row>
    <row r="902" spans="2:9" ht="16">
      <c r="B902" s="1582"/>
      <c r="C902" s="1582"/>
      <c r="D902" s="1584"/>
      <c r="E902" s="1582"/>
      <c r="F902" s="1582"/>
      <c r="G902" s="1582"/>
      <c r="H902" s="1583"/>
      <c r="I902" s="1582"/>
    </row>
    <row r="903" spans="2:9" ht="16">
      <c r="B903" s="1582"/>
      <c r="C903" s="1582"/>
      <c r="D903" s="1584"/>
      <c r="E903" s="1582"/>
      <c r="F903" s="1582"/>
      <c r="G903" s="1582"/>
      <c r="H903" s="1583"/>
      <c r="I903" s="1582"/>
    </row>
    <row r="904" spans="2:9" ht="16">
      <c r="B904" s="1582"/>
      <c r="C904" s="1582"/>
      <c r="D904" s="1584"/>
      <c r="E904" s="1582"/>
      <c r="F904" s="1582"/>
      <c r="G904" s="1582"/>
      <c r="H904" s="1583"/>
      <c r="I904" s="1582"/>
    </row>
    <row r="905" spans="2:9" ht="16">
      <c r="B905" s="1582"/>
      <c r="C905" s="1582"/>
      <c r="D905" s="1584"/>
      <c r="E905" s="1582"/>
      <c r="F905" s="1582"/>
      <c r="G905" s="1582"/>
      <c r="H905" s="1583"/>
      <c r="I905" s="1582"/>
    </row>
    <row r="906" spans="2:9" ht="16">
      <c r="B906" s="1582"/>
      <c r="C906" s="1582"/>
      <c r="D906" s="1584"/>
      <c r="E906" s="1582"/>
      <c r="F906" s="1582"/>
      <c r="G906" s="1582"/>
      <c r="H906" s="1583"/>
      <c r="I906" s="1582"/>
    </row>
    <row r="907" spans="2:9" ht="16">
      <c r="B907" s="1582"/>
      <c r="C907" s="1582"/>
      <c r="D907" s="1584"/>
      <c r="E907" s="1582"/>
      <c r="F907" s="1582"/>
      <c r="G907" s="1582"/>
      <c r="H907" s="1583"/>
      <c r="I907" s="1582"/>
    </row>
    <row r="908" spans="2:9" ht="16">
      <c r="B908" s="1582"/>
      <c r="C908" s="1582"/>
      <c r="D908" s="1584"/>
      <c r="E908" s="1582"/>
      <c r="F908" s="1582"/>
      <c r="G908" s="1582"/>
      <c r="H908" s="1583"/>
      <c r="I908" s="1582"/>
    </row>
    <row r="909" spans="2:9" ht="16">
      <c r="B909" s="1582"/>
      <c r="C909" s="1582"/>
      <c r="D909" s="1584"/>
      <c r="E909" s="1582"/>
      <c r="F909" s="1582"/>
      <c r="G909" s="1582"/>
      <c r="H909" s="1583"/>
      <c r="I909" s="1582"/>
    </row>
    <row r="910" spans="2:9" ht="16">
      <c r="B910" s="1582"/>
      <c r="C910" s="1582"/>
      <c r="D910" s="1584"/>
      <c r="E910" s="1582"/>
      <c r="F910" s="1582"/>
      <c r="G910" s="1582"/>
      <c r="H910" s="1583"/>
      <c r="I910" s="1582"/>
    </row>
    <row r="911" spans="2:9" ht="16">
      <c r="B911" s="1582"/>
      <c r="C911" s="1582"/>
      <c r="D911" s="1584"/>
      <c r="E911" s="1582"/>
      <c r="F911" s="1582"/>
      <c r="G911" s="1582"/>
      <c r="H911" s="1583"/>
      <c r="I911" s="1582"/>
    </row>
    <row r="912" spans="2:9" ht="16">
      <c r="B912" s="1582"/>
      <c r="C912" s="1582"/>
      <c r="D912" s="1584"/>
      <c r="E912" s="1582"/>
      <c r="F912" s="1582"/>
      <c r="G912" s="1582"/>
      <c r="H912" s="1583"/>
      <c r="I912" s="1582"/>
    </row>
    <row r="913" spans="2:9" ht="16">
      <c r="B913" s="1582"/>
      <c r="C913" s="1582"/>
      <c r="D913" s="1584"/>
      <c r="E913" s="1582"/>
      <c r="F913" s="1582"/>
      <c r="G913" s="1582"/>
      <c r="H913" s="1583"/>
      <c r="I913" s="1582"/>
    </row>
    <row r="914" spans="2:9" ht="16">
      <c r="B914" s="1582"/>
      <c r="C914" s="1582"/>
      <c r="D914" s="1584"/>
      <c r="E914" s="1582"/>
      <c r="F914" s="1582"/>
      <c r="G914" s="1582"/>
      <c r="H914" s="1583"/>
      <c r="I914" s="1582"/>
    </row>
    <row r="915" spans="2:9" ht="16">
      <c r="B915" s="1582"/>
      <c r="C915" s="1582"/>
      <c r="D915" s="1584"/>
      <c r="E915" s="1582"/>
      <c r="F915" s="1582"/>
      <c r="G915" s="1582"/>
      <c r="H915" s="1583"/>
      <c r="I915" s="1582"/>
    </row>
    <row r="916" spans="2:9" ht="16">
      <c r="B916" s="1582"/>
      <c r="C916" s="1582"/>
      <c r="D916" s="1584"/>
      <c r="E916" s="1582"/>
      <c r="F916" s="1582"/>
      <c r="G916" s="1582"/>
      <c r="H916" s="1583"/>
      <c r="I916" s="1582"/>
    </row>
    <row r="917" spans="2:9" ht="16">
      <c r="B917" s="1582"/>
      <c r="C917" s="1582"/>
      <c r="D917" s="1584"/>
      <c r="E917" s="1582"/>
      <c r="F917" s="1582"/>
      <c r="G917" s="1582"/>
      <c r="H917" s="1583"/>
      <c r="I917" s="1582"/>
    </row>
    <row r="918" spans="2:9" ht="16">
      <c r="B918" s="1582"/>
      <c r="C918" s="1582"/>
      <c r="D918" s="1584"/>
      <c r="E918" s="1582"/>
      <c r="F918" s="1582"/>
      <c r="G918" s="1582"/>
      <c r="H918" s="1583"/>
      <c r="I918" s="1582"/>
    </row>
    <row r="919" spans="2:9" ht="16">
      <c r="B919" s="1582"/>
      <c r="C919" s="1582"/>
      <c r="D919" s="1584"/>
      <c r="E919" s="1582"/>
      <c r="F919" s="1582"/>
      <c r="G919" s="1582"/>
      <c r="H919" s="1583"/>
      <c r="I919" s="1582"/>
    </row>
    <row r="920" spans="2:9" ht="16">
      <c r="B920" s="1582"/>
      <c r="C920" s="1582"/>
      <c r="D920" s="1584"/>
      <c r="E920" s="1582"/>
      <c r="F920" s="1582"/>
      <c r="G920" s="1582"/>
      <c r="H920" s="1583"/>
      <c r="I920" s="1582"/>
    </row>
    <row r="921" spans="2:9" ht="16">
      <c r="B921" s="1582"/>
      <c r="C921" s="1582"/>
      <c r="D921" s="1584"/>
      <c r="E921" s="1582"/>
      <c r="F921" s="1582"/>
      <c r="G921" s="1582"/>
      <c r="H921" s="1583"/>
      <c r="I921" s="1582"/>
    </row>
    <row r="922" spans="2:9" ht="16">
      <c r="B922" s="1582"/>
      <c r="C922" s="1582"/>
      <c r="D922" s="1584"/>
      <c r="E922" s="1582"/>
      <c r="F922" s="1582"/>
      <c r="G922" s="1582"/>
      <c r="H922" s="1583"/>
      <c r="I922" s="1582"/>
    </row>
    <row r="923" spans="2:9" ht="16">
      <c r="B923" s="1582"/>
      <c r="C923" s="1582"/>
      <c r="D923" s="1584"/>
      <c r="E923" s="1582"/>
      <c r="F923" s="1582"/>
      <c r="G923" s="1582"/>
      <c r="H923" s="1583"/>
      <c r="I923" s="1582"/>
    </row>
    <row r="924" spans="2:9" ht="16">
      <c r="B924" s="1582"/>
      <c r="C924" s="1582"/>
      <c r="D924" s="1584"/>
      <c r="E924" s="1582"/>
      <c r="F924" s="1582"/>
      <c r="G924" s="1582"/>
      <c r="H924" s="1583"/>
      <c r="I924" s="1582"/>
    </row>
    <row r="925" spans="2:9" ht="16">
      <c r="B925" s="1582"/>
      <c r="C925" s="1582"/>
      <c r="D925" s="1584"/>
      <c r="E925" s="1582"/>
      <c r="F925" s="1582"/>
      <c r="G925" s="1582"/>
      <c r="H925" s="1583"/>
      <c r="I925" s="1582"/>
    </row>
    <row r="926" spans="2:9" ht="16">
      <c r="B926" s="1582"/>
      <c r="C926" s="1582"/>
      <c r="D926" s="1584"/>
      <c r="E926" s="1582"/>
      <c r="F926" s="1582"/>
      <c r="G926" s="1582"/>
      <c r="H926" s="1583"/>
      <c r="I926" s="1582"/>
    </row>
    <row r="927" spans="2:9" ht="16">
      <c r="B927" s="1582"/>
      <c r="C927" s="1582"/>
      <c r="D927" s="1584"/>
      <c r="E927" s="1582"/>
      <c r="F927" s="1582"/>
      <c r="G927" s="1582"/>
      <c r="H927" s="1583"/>
      <c r="I927" s="1582"/>
    </row>
    <row r="928" spans="2:9" ht="16">
      <c r="B928" s="1582"/>
      <c r="C928" s="1582"/>
      <c r="D928" s="1584"/>
      <c r="E928" s="1582"/>
      <c r="F928" s="1582"/>
      <c r="G928" s="1582"/>
      <c r="H928" s="1583"/>
      <c r="I928" s="1582"/>
    </row>
    <row r="929" spans="2:9" ht="16">
      <c r="B929" s="1582"/>
      <c r="C929" s="1582"/>
      <c r="D929" s="1584"/>
      <c r="E929" s="1582"/>
      <c r="F929" s="1582"/>
      <c r="G929" s="1582"/>
      <c r="H929" s="1583"/>
      <c r="I929" s="1582"/>
    </row>
    <row r="930" spans="2:9" ht="16">
      <c r="B930" s="1582"/>
      <c r="C930" s="1582"/>
      <c r="D930" s="1584"/>
      <c r="E930" s="1582"/>
      <c r="F930" s="1582"/>
      <c r="G930" s="1582"/>
      <c r="H930" s="1583"/>
      <c r="I930" s="1582"/>
    </row>
    <row r="931" spans="2:9" ht="16">
      <c r="B931" s="1582"/>
      <c r="C931" s="1582"/>
      <c r="D931" s="1584"/>
      <c r="E931" s="1582"/>
      <c r="F931" s="1582"/>
      <c r="G931" s="1582"/>
      <c r="H931" s="1583"/>
      <c r="I931" s="1582"/>
    </row>
    <row r="932" spans="2:9" ht="16">
      <c r="B932" s="1582"/>
      <c r="C932" s="1582"/>
      <c r="D932" s="1584"/>
      <c r="E932" s="1582"/>
      <c r="F932" s="1582"/>
      <c r="G932" s="1582"/>
      <c r="H932" s="1583"/>
      <c r="I932" s="1582"/>
    </row>
    <row r="933" spans="2:9" ht="16">
      <c r="B933" s="1582"/>
      <c r="C933" s="1582"/>
      <c r="D933" s="1584"/>
      <c r="E933" s="1582"/>
      <c r="F933" s="1582"/>
      <c r="G933" s="1582"/>
      <c r="H933" s="1583"/>
      <c r="I933" s="1582"/>
    </row>
    <row r="934" spans="2:9" ht="16">
      <c r="B934" s="1582"/>
      <c r="C934" s="1582"/>
      <c r="D934" s="1584"/>
      <c r="E934" s="1582"/>
      <c r="F934" s="1582"/>
      <c r="G934" s="1582"/>
      <c r="H934" s="1583"/>
      <c r="I934" s="1582"/>
    </row>
    <row r="935" spans="2:9" ht="16">
      <c r="B935" s="1582"/>
      <c r="C935" s="1582"/>
      <c r="D935" s="1584"/>
      <c r="E935" s="1582"/>
      <c r="F935" s="1582"/>
      <c r="G935" s="1582"/>
      <c r="H935" s="1583"/>
      <c r="I935" s="1582"/>
    </row>
    <row r="936" spans="2:9" ht="16">
      <c r="B936" s="1582"/>
      <c r="C936" s="1582"/>
      <c r="D936" s="1584"/>
      <c r="E936" s="1582"/>
      <c r="F936" s="1582"/>
      <c r="G936" s="1582"/>
      <c r="H936" s="1583"/>
      <c r="I936" s="1582"/>
    </row>
    <row r="937" spans="2:9" ht="16">
      <c r="B937" s="1582"/>
      <c r="C937" s="1582"/>
      <c r="D937" s="1584"/>
      <c r="E937" s="1582"/>
      <c r="F937" s="1582"/>
      <c r="G937" s="1582"/>
      <c r="H937" s="1583"/>
      <c r="I937" s="1582"/>
    </row>
    <row r="938" spans="2:9" ht="16">
      <c r="B938" s="1582"/>
      <c r="C938" s="1582"/>
      <c r="D938" s="1584"/>
      <c r="E938" s="1582"/>
      <c r="F938" s="1582"/>
      <c r="G938" s="1582"/>
      <c r="H938" s="1583"/>
      <c r="I938" s="1582"/>
    </row>
    <row r="939" spans="2:9" ht="16">
      <c r="B939" s="1582"/>
      <c r="C939" s="1582"/>
      <c r="D939" s="1584"/>
      <c r="E939" s="1582"/>
      <c r="F939" s="1582"/>
      <c r="G939" s="1582"/>
      <c r="H939" s="1583"/>
      <c r="I939" s="1582"/>
    </row>
  </sheetData>
  <sortState xmlns:xlrd2="http://schemas.microsoft.com/office/spreadsheetml/2017/richdata2" ref="A4:L18">
    <sortCondition descending="1" ref="I4:I18"/>
  </sortState>
  <mergeCells count="16">
    <mergeCell ref="B21:C21"/>
    <mergeCell ref="B22:C22"/>
    <mergeCell ref="B27:C27"/>
    <mergeCell ref="B28:C28"/>
    <mergeCell ref="B29:C29"/>
    <mergeCell ref="B24:C24"/>
    <mergeCell ref="B26:C26"/>
    <mergeCell ref="B25:C25"/>
    <mergeCell ref="B23:C23"/>
    <mergeCell ref="B31:C31"/>
    <mergeCell ref="B30:C30"/>
    <mergeCell ref="B35:C35"/>
    <mergeCell ref="B36:C36"/>
    <mergeCell ref="B32:C32"/>
    <mergeCell ref="B33:C33"/>
    <mergeCell ref="B34:C34"/>
  </mergeCells>
  <hyperlinks>
    <hyperlink ref="A1" location="Index!A1" display="Index" xr:uid="{8B76D815-4952-43AA-A454-5B74810E777D}"/>
  </hyperlinks>
  <pageMargins left="0.7" right="0.7" top="0.75" bottom="0.75" header="0.3" footer="0.3"/>
  <pageSetup orientation="portrait" horizontalDpi="4294967293" verticalDpi="4294967293"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16FBF-E07A-46DA-833C-DC0A9F2550A3}">
  <sheetPr>
    <tabColor rgb="FF9900FF"/>
    <outlinePr summaryBelow="0" summaryRight="0"/>
  </sheetPr>
  <dimension ref="A1:G32"/>
  <sheetViews>
    <sheetView workbookViewId="0">
      <selection activeCell="A16" sqref="A16:D27"/>
    </sheetView>
  </sheetViews>
  <sheetFormatPr baseColWidth="10" defaultColWidth="14.33203125" defaultRowHeight="15.75" customHeight="1"/>
  <cols>
    <col min="1" max="1" width="30.5" style="983" customWidth="1"/>
    <col min="2" max="4" width="16.83203125" style="983" customWidth="1"/>
    <col min="5" max="5" width="14.33203125" style="983"/>
    <col min="6" max="6" width="30.5" style="983" customWidth="1"/>
    <col min="7" max="7" width="22.5" style="983" customWidth="1"/>
    <col min="8" max="16384" width="14.33203125" style="983"/>
  </cols>
  <sheetData>
    <row r="1" spans="1:7" ht="27" thickTop="1">
      <c r="A1" s="1625" t="s">
        <v>0</v>
      </c>
    </row>
    <row r="2" spans="1:7" ht="15.75" customHeight="1">
      <c r="A2" s="1630">
        <v>0</v>
      </c>
      <c r="B2" s="1448" t="s">
        <v>993</v>
      </c>
      <c r="C2" s="1448" t="s">
        <v>1010</v>
      </c>
      <c r="D2" s="1448" t="s">
        <v>1009</v>
      </c>
      <c r="E2" s="1417"/>
      <c r="F2" s="1420" t="s">
        <v>1021</v>
      </c>
      <c r="G2" s="1420" t="s">
        <v>1020</v>
      </c>
    </row>
    <row r="3" spans="1:7" ht="15.75" customHeight="1">
      <c r="A3" s="1447" t="s">
        <v>949</v>
      </c>
      <c r="B3" s="1628">
        <f>'QM Simulation 1'!G2</f>
        <v>2719365.4824631806</v>
      </c>
      <c r="C3" s="1628">
        <f>'QM Simulation 2'!G2</f>
        <v>2719365.4824631806</v>
      </c>
      <c r="D3" s="1628">
        <f>'QM All Variables Simulation'!G2</f>
        <v>2719365.4824631806</v>
      </c>
      <c r="E3" s="1417"/>
      <c r="F3" s="1417" t="s">
        <v>993</v>
      </c>
      <c r="G3" s="1417" t="s">
        <v>1019</v>
      </c>
    </row>
    <row r="4" spans="1:7" ht="15.75" customHeight="1">
      <c r="A4" s="1447" t="s">
        <v>1017</v>
      </c>
      <c r="B4" s="1628">
        <f>'QM Simulation 1'!G3</f>
        <v>2719365.4824631587</v>
      </c>
      <c r="C4" s="1628">
        <f>'QM Simulation 2'!G3</f>
        <v>2719365.4824631587</v>
      </c>
      <c r="D4" s="1628">
        <f>'QM All Variables Simulation'!G3</f>
        <v>2719365.4824631587</v>
      </c>
      <c r="E4" s="1417"/>
      <c r="F4" s="1629" t="s">
        <v>991</v>
      </c>
      <c r="G4" s="1629" t="s">
        <v>1018</v>
      </c>
    </row>
    <row r="5" spans="1:7" ht="15.75" customHeight="1">
      <c r="A5" s="1447" t="s">
        <v>1016</v>
      </c>
      <c r="B5" s="1628">
        <f>'QM Simulation 1'!G4</f>
        <v>2.1897031757841057E-8</v>
      </c>
      <c r="C5" s="1628">
        <f>'QM Simulation 2'!G4</f>
        <v>2.1897031757841057E-8</v>
      </c>
      <c r="D5" s="1628">
        <f>'QM All Variables Simulation'!G4</f>
        <v>2.1897031757841057E-8</v>
      </c>
      <c r="E5" s="1417"/>
      <c r="F5" s="1629"/>
    </row>
    <row r="6" spans="1:7" ht="15.75" customHeight="1">
      <c r="A6" s="1447" t="s">
        <v>1015</v>
      </c>
      <c r="B6" s="1628">
        <f>'QM Simulation 1'!G5</f>
        <v>2719365.4824631587</v>
      </c>
      <c r="C6" s="1628">
        <f>'QM Simulation 2'!G5</f>
        <v>2719365.4824631587</v>
      </c>
      <c r="D6" s="1628">
        <f>'QM All Variables Simulation'!G5</f>
        <v>2719365.4824631587</v>
      </c>
      <c r="E6" s="1417"/>
      <c r="F6" s="1629"/>
      <c r="G6" s="1629"/>
    </row>
    <row r="7" spans="1:7" ht="15.75" customHeight="1">
      <c r="A7" s="1447" t="s">
        <v>1014</v>
      </c>
      <c r="B7" s="1628">
        <f>'QM Simulation 1'!G6</f>
        <v>2719365.4824631587</v>
      </c>
      <c r="C7" s="1628">
        <f>'QM Simulation 2'!G6</f>
        <v>2719365.4824631587</v>
      </c>
      <c r="D7" s="1628">
        <f>'QM All Variables Simulation'!G6</f>
        <v>2719365.4824631587</v>
      </c>
      <c r="E7" s="1417"/>
      <c r="F7" s="1417"/>
    </row>
    <row r="8" spans="1:7" ht="15.75" customHeight="1">
      <c r="A8" s="1447" t="s">
        <v>1008</v>
      </c>
      <c r="B8" s="1628">
        <f>'QM Simulation 1'!G7</f>
        <v>2719365.4824631587</v>
      </c>
      <c r="C8" s="1628">
        <f>'QM Simulation 2'!G7</f>
        <v>2719365.4824631587</v>
      </c>
      <c r="D8" s="1628">
        <f>'QM All Variables Simulation'!G7</f>
        <v>2719365.4824631587</v>
      </c>
      <c r="E8" s="1417"/>
      <c r="F8" s="1417"/>
    </row>
    <row r="9" spans="1:7" ht="15.75" customHeight="1">
      <c r="A9" s="1447" t="s">
        <v>1007</v>
      </c>
      <c r="B9" s="1628">
        <f>'QM Simulation 1'!G8</f>
        <v>2719365.4824631587</v>
      </c>
      <c r="C9" s="1628">
        <f>'QM Simulation 2'!G8</f>
        <v>2719365.4824631587</v>
      </c>
      <c r="D9" s="1628">
        <f>'QM All Variables Simulation'!G8</f>
        <v>2719365.4824631587</v>
      </c>
      <c r="E9" s="1417"/>
      <c r="F9" s="1417"/>
    </row>
    <row r="10" spans="1:7" ht="15.75" customHeight="1">
      <c r="A10" s="1447" t="s">
        <v>1013</v>
      </c>
      <c r="B10" s="1628">
        <f>'QM Simulation 1'!G9</f>
        <v>2719365.4824631587</v>
      </c>
      <c r="C10" s="1628">
        <f>'QM Simulation 2'!G9</f>
        <v>2719365.4824631587</v>
      </c>
      <c r="D10" s="1628">
        <f>'QM All Variables Simulation'!G9</f>
        <v>2719365.4824631587</v>
      </c>
      <c r="E10" s="1417"/>
      <c r="F10" s="1417"/>
    </row>
    <row r="11" spans="1:7" ht="15.75" customHeight="1">
      <c r="A11" s="1447" t="s">
        <v>8</v>
      </c>
      <c r="B11" s="1628">
        <f>'QM Simulation 1'!G10</f>
        <v>2719365.4824631587</v>
      </c>
      <c r="C11" s="1628">
        <f>'QM Simulation 2'!G10</f>
        <v>2719365.4824631587</v>
      </c>
      <c r="D11" s="1628">
        <f>'QM All Variables Simulation'!G10</f>
        <v>2719365.4824631587</v>
      </c>
      <c r="E11" s="1417"/>
      <c r="F11" s="1417"/>
    </row>
    <row r="12" spans="1:7" ht="15.75" customHeight="1">
      <c r="A12" s="1447" t="s">
        <v>9</v>
      </c>
      <c r="B12" s="1628">
        <f>'QM Simulation 1'!G11</f>
        <v>2719365.4824631587</v>
      </c>
      <c r="C12" s="1628">
        <f>'QM Simulation 2'!G11</f>
        <v>2719365.4824631587</v>
      </c>
      <c r="D12" s="1628">
        <f>'QM All Variables Simulation'!G11</f>
        <v>2719365.4824631587</v>
      </c>
      <c r="E12" s="1417"/>
      <c r="F12" s="1417"/>
    </row>
    <row r="13" spans="1:7" ht="15.75" customHeight="1">
      <c r="A13" s="1447" t="s">
        <v>1012</v>
      </c>
      <c r="B13" s="1627">
        <f>'QM Simulation 1'!G12</f>
        <v>0</v>
      </c>
      <c r="C13" s="1627">
        <f>'QM Simulation 2'!G12</f>
        <v>0</v>
      </c>
      <c r="D13" s="1627">
        <f>'QM All Variables Simulation'!G12</f>
        <v>0</v>
      </c>
      <c r="E13" s="1417"/>
      <c r="F13" s="1417"/>
    </row>
    <row r="14" spans="1:7" ht="15.75" customHeight="1">
      <c r="A14" s="1417"/>
      <c r="B14" s="1417"/>
      <c r="C14" s="1417"/>
      <c r="D14" s="1417"/>
      <c r="E14" s="1417"/>
      <c r="F14" s="1417"/>
    </row>
    <row r="15" spans="1:7" ht="15.75" customHeight="1" thickBot="1">
      <c r="A15" s="1417"/>
      <c r="B15" s="1417"/>
      <c r="C15" s="1417"/>
      <c r="D15" s="1417"/>
      <c r="E15" s="1417"/>
      <c r="F15" s="1417"/>
    </row>
    <row r="16" spans="1:7" ht="15.75" customHeight="1" thickBot="1">
      <c r="A16" s="1896"/>
      <c r="B16" s="1894" t="s">
        <v>993</v>
      </c>
      <c r="C16" s="1894" t="s">
        <v>1010</v>
      </c>
      <c r="D16" s="1895" t="s">
        <v>1009</v>
      </c>
      <c r="E16" s="1417"/>
      <c r="F16" s="1417"/>
    </row>
    <row r="17" spans="1:6" ht="15.75" customHeight="1">
      <c r="A17" s="1897" t="s">
        <v>949</v>
      </c>
      <c r="B17" s="1890">
        <v>2698430.3303912831</v>
      </c>
      <c r="C17" s="1890">
        <v>1649668.6020011003</v>
      </c>
      <c r="D17" s="1891">
        <v>1650624.0854388275</v>
      </c>
      <c r="E17" s="1417"/>
      <c r="F17" s="1417"/>
    </row>
    <row r="18" spans="1:6" ht="15.75" customHeight="1">
      <c r="A18" s="1897" t="s">
        <v>1017</v>
      </c>
      <c r="B18" s="1890">
        <v>2710174.953728647</v>
      </c>
      <c r="C18" s="1890">
        <v>1832705.056262996</v>
      </c>
      <c r="D18" s="1891">
        <v>1632787.1699632001</v>
      </c>
      <c r="E18" s="1417"/>
      <c r="F18" s="1417"/>
    </row>
    <row r="19" spans="1:6" ht="16">
      <c r="A19" s="1897" t="s">
        <v>1016</v>
      </c>
      <c r="B19" s="1890">
        <v>1478604.7803857909</v>
      </c>
      <c r="C19" s="1890">
        <v>1114899.2308209208</v>
      </c>
      <c r="D19" s="1891">
        <v>1870200.9400358542</v>
      </c>
      <c r="E19" s="1417"/>
      <c r="F19" s="1417"/>
    </row>
    <row r="20" spans="1:6" ht="16">
      <c r="A20" s="1897" t="s">
        <v>1015</v>
      </c>
      <c r="B20" s="1890">
        <v>1645177.6173482628</v>
      </c>
      <c r="C20" s="1890">
        <v>866889.69089456857</v>
      </c>
      <c r="D20" s="1891">
        <v>386370.14745194069</v>
      </c>
      <c r="E20" s="1417"/>
      <c r="F20" s="1417"/>
    </row>
    <row r="21" spans="1:6" ht="16">
      <c r="A21" s="1897" t="s">
        <v>1014</v>
      </c>
      <c r="B21" s="1890">
        <v>3688418.1951360293</v>
      </c>
      <c r="C21" s="1890">
        <v>2538559.2351867855</v>
      </c>
      <c r="D21" s="1891">
        <v>2962967.6141299098</v>
      </c>
      <c r="E21" s="1417"/>
      <c r="F21" s="1417"/>
    </row>
    <row r="22" spans="1:6" ht="16">
      <c r="A22" s="1897" t="s">
        <v>1008</v>
      </c>
      <c r="B22" s="1890">
        <v>33009.630470256525</v>
      </c>
      <c r="C22" s="1890">
        <v>-689825.14180355077</v>
      </c>
      <c r="D22" s="1891">
        <v>-1939639.6628626771</v>
      </c>
      <c r="E22" s="1417"/>
      <c r="F22" s="1417"/>
    </row>
    <row r="23" spans="1:6" ht="16">
      <c r="A23" s="1897" t="s">
        <v>1007</v>
      </c>
      <c r="B23" s="1890">
        <v>5745705.8032068266</v>
      </c>
      <c r="C23" s="1890">
        <v>3389322.3785652518</v>
      </c>
      <c r="D23" s="1891">
        <v>5190349.6319425274</v>
      </c>
      <c r="E23" s="1417"/>
      <c r="F23" s="1417"/>
    </row>
    <row r="24" spans="1:6" ht="16">
      <c r="A24" s="1897" t="s">
        <v>1013</v>
      </c>
      <c r="B24" s="1890">
        <v>352179.66521073628</v>
      </c>
      <c r="C24" s="1890">
        <v>-443695.6249745806</v>
      </c>
      <c r="D24" s="1891">
        <v>-1334528.2157496412</v>
      </c>
      <c r="E24" s="1417"/>
      <c r="F24" s="1417"/>
    </row>
    <row r="25" spans="1:6" ht="16">
      <c r="A25" s="1897" t="s">
        <v>8</v>
      </c>
      <c r="B25" s="1890">
        <v>-2391229.8428374934</v>
      </c>
      <c r="C25" s="1890">
        <v>-1386801.5653817642</v>
      </c>
      <c r="D25" s="1891">
        <v>-4671099.8976023719</v>
      </c>
      <c r="E25" s="1417"/>
      <c r="F25" s="1417"/>
    </row>
    <row r="26" spans="1:6" ht="16">
      <c r="A26" s="1897" t="s">
        <v>9</v>
      </c>
      <c r="B26" s="1890">
        <v>7554802.1205064319</v>
      </c>
      <c r="C26" s="1890">
        <v>3700781.8840883588</v>
      </c>
      <c r="D26" s="1891">
        <v>7229477.4315307084</v>
      </c>
      <c r="E26" s="1417"/>
      <c r="F26" s="1417"/>
    </row>
    <row r="27" spans="1:6" ht="17" thickBot="1">
      <c r="A27" s="1898" t="s">
        <v>1012</v>
      </c>
      <c r="B27" s="1892">
        <v>2.4E-2</v>
      </c>
      <c r="C27" s="1892">
        <v>9.6000000000000002E-2</v>
      </c>
      <c r="D27" s="1893">
        <v>0.20499999999999999</v>
      </c>
      <c r="E27" s="1417"/>
      <c r="F27" s="1417"/>
    </row>
    <row r="28" spans="1:6" ht="16">
      <c r="A28" s="1889"/>
      <c r="B28" s="1889"/>
      <c r="C28" s="1582"/>
      <c r="D28" s="1582"/>
      <c r="E28" s="1417"/>
      <c r="F28" s="1417"/>
    </row>
    <row r="29" spans="1:6" ht="16">
      <c r="A29" s="2097" t="s">
        <v>1011</v>
      </c>
      <c r="B29" s="2097"/>
      <c r="C29" s="2097"/>
      <c r="D29" s="2097"/>
      <c r="E29" s="1417"/>
      <c r="F29" s="1417"/>
    </row>
    <row r="30" spans="1:6" ht="16">
      <c r="A30" s="1417"/>
      <c r="B30" s="1420" t="s">
        <v>993</v>
      </c>
      <c r="C30" s="1420" t="s">
        <v>1010</v>
      </c>
      <c r="D30" s="1420" t="s">
        <v>1009</v>
      </c>
      <c r="E30" s="1417"/>
      <c r="F30" s="1417"/>
    </row>
    <row r="31" spans="1:6" ht="15.75" customHeight="1">
      <c r="A31" s="1420" t="s">
        <v>1008</v>
      </c>
      <c r="B31" s="1626">
        <f>B22</f>
        <v>33009.630470256525</v>
      </c>
      <c r="C31" s="1626">
        <f>C22</f>
        <v>-689825.14180355077</v>
      </c>
      <c r="D31" s="1626">
        <v>-707274.75443986512</v>
      </c>
    </row>
    <row r="32" spans="1:6" ht="15.75" customHeight="1">
      <c r="A32" s="1420" t="s">
        <v>1007</v>
      </c>
      <c r="B32" s="1626">
        <f>B23</f>
        <v>5745705.8032068266</v>
      </c>
      <c r="C32" s="1626">
        <f>C23</f>
        <v>3389322.3785652518</v>
      </c>
      <c r="D32" s="1626">
        <v>3603580.075623808</v>
      </c>
    </row>
  </sheetData>
  <mergeCells count="1">
    <mergeCell ref="A29:D29"/>
  </mergeCells>
  <hyperlinks>
    <hyperlink ref="A1" location="Index!A1" display="Index" xr:uid="{18C04A86-CF3D-4515-ADF8-5E45CEB6D545}"/>
  </hyperlinks>
  <pageMargins left="0.7" right="0.7" top="0.75" bottom="0.75" header="0.3" footer="0.3"/>
  <pageSetup orientation="portrait" horizontalDpi="4294967293" verticalDpi="4294967293"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8A445-3B46-48C4-92A1-B8556372D11F}">
  <sheetPr>
    <tabColor rgb="FF9900FF"/>
    <outlinePr summaryBelow="0" summaryRight="0"/>
  </sheetPr>
  <dimension ref="A1:L1012"/>
  <sheetViews>
    <sheetView topLeftCell="C1" workbookViewId="0">
      <selection activeCell="J18" sqref="J18"/>
    </sheetView>
  </sheetViews>
  <sheetFormatPr baseColWidth="10" defaultColWidth="14.33203125" defaultRowHeight="15.75" customHeight="1"/>
  <cols>
    <col min="1" max="1" width="22.83203125" style="1418" bestFit="1" customWidth="1"/>
    <col min="2" max="3" width="14.33203125" style="1418"/>
    <col min="4" max="4" width="14.6640625" style="1418" bestFit="1" customWidth="1"/>
    <col min="5" max="5" width="14.33203125" style="1418"/>
    <col min="6" max="6" width="18.83203125" style="1418" customWidth="1"/>
    <col min="7" max="8" width="14.33203125" style="1418"/>
    <col min="9" max="9" width="19.6640625" style="1418" bestFit="1" customWidth="1"/>
    <col min="10" max="10" width="15.6640625" style="1418" customWidth="1"/>
    <col min="11" max="11" width="16" style="1418" customWidth="1"/>
    <col min="12" max="12" width="75.6640625" style="1418" bestFit="1" customWidth="1"/>
    <col min="13" max="16384" width="14.33203125" style="1418"/>
  </cols>
  <sheetData>
    <row r="1" spans="1:12" ht="18" thickBot="1">
      <c r="A1" s="1641" t="s">
        <v>1047</v>
      </c>
      <c r="B1" s="1594"/>
      <c r="C1" s="1447" t="s">
        <v>10</v>
      </c>
      <c r="D1" s="1640" t="s">
        <v>0</v>
      </c>
      <c r="F1" s="2098" t="s">
        <v>1046</v>
      </c>
      <c r="G1" s="2099"/>
    </row>
    <row r="2" spans="1:12" ht="15.75" customHeight="1" thickBot="1">
      <c r="A2" s="1635" t="s">
        <v>1045</v>
      </c>
      <c r="B2" s="1639" t="s">
        <v>993</v>
      </c>
      <c r="C2" s="2100"/>
      <c r="D2" s="2100"/>
      <c r="F2" s="1447" t="s">
        <v>949</v>
      </c>
      <c r="G2" s="1628">
        <f>AVERAGE(D13:D1012)</f>
        <v>2719365.4824631806</v>
      </c>
      <c r="I2" s="2153" t="s">
        <v>1044</v>
      </c>
      <c r="J2" s="2154"/>
      <c r="K2" s="2154"/>
      <c r="L2" s="2155"/>
    </row>
    <row r="3" spans="1:12" ht="15.75" customHeight="1" thickBot="1">
      <c r="A3" s="1635" t="s">
        <v>1043</v>
      </c>
      <c r="B3" s="1639" t="s">
        <v>1019</v>
      </c>
      <c r="F3" s="1447" t="s">
        <v>1017</v>
      </c>
      <c r="G3" s="1628">
        <f>MEDIAN(D13:D1012)</f>
        <v>2719365.4824631587</v>
      </c>
      <c r="I3" s="2156" t="s">
        <v>1042</v>
      </c>
      <c r="J3" s="2157" t="s">
        <v>1041</v>
      </c>
      <c r="K3" s="2157" t="s">
        <v>1040</v>
      </c>
      <c r="L3" s="2158" t="s">
        <v>11</v>
      </c>
    </row>
    <row r="4" spans="1:12" ht="15.75" customHeight="1">
      <c r="A4" s="1635" t="s">
        <v>1039</v>
      </c>
      <c r="B4" s="1638">
        <v>1</v>
      </c>
      <c r="C4" s="1418" t="s">
        <v>1038</v>
      </c>
      <c r="F4" s="1447" t="s">
        <v>1016</v>
      </c>
      <c r="G4" s="1628">
        <f>STDEV(D13:D1012)</f>
        <v>2.1897031757841057E-8</v>
      </c>
      <c r="I4" s="2149">
        <v>0.9</v>
      </c>
      <c r="J4" s="2148">
        <v>1</v>
      </c>
      <c r="K4" s="2148">
        <v>1.1000000000000001</v>
      </c>
      <c r="L4" s="2150" t="s">
        <v>1037</v>
      </c>
    </row>
    <row r="5" spans="1:12" ht="15.75" customHeight="1">
      <c r="A5" s="1635" t="s">
        <v>1036</v>
      </c>
      <c r="B5" s="1637">
        <f>J11</f>
        <v>0.12499468548585045</v>
      </c>
      <c r="C5" s="1418" t="s">
        <v>1220</v>
      </c>
      <c r="F5" s="1447" t="s">
        <v>1015</v>
      </c>
      <c r="G5" s="1628">
        <f>PERCENTILE(D13:D1012,0.25)</f>
        <v>2719365.4824631587</v>
      </c>
      <c r="I5" s="2149">
        <v>0.52</v>
      </c>
      <c r="J5" s="2148">
        <v>0.56999999999999995</v>
      </c>
      <c r="K5" s="2148">
        <v>0.62</v>
      </c>
      <c r="L5" s="2150" t="s">
        <v>1035</v>
      </c>
    </row>
    <row r="6" spans="1:12" ht="15.75" customHeight="1">
      <c r="A6" s="1635" t="s">
        <v>1034</v>
      </c>
      <c r="B6" s="1632">
        <f ca="1">MAX(NORMINV(RAND(),$B$4,$B$5),0)</f>
        <v>0.97700787319330329</v>
      </c>
      <c r="F6" s="1447" t="s">
        <v>1014</v>
      </c>
      <c r="G6" s="1628">
        <f>PERCENTILE(D13:D1012,0.75)</f>
        <v>2719365.4824631587</v>
      </c>
      <c r="I6" s="2149">
        <v>0.69</v>
      </c>
      <c r="J6" s="2148">
        <v>0.74</v>
      </c>
      <c r="K6" s="2148">
        <v>0.79</v>
      </c>
      <c r="L6" s="2150" t="s">
        <v>1033</v>
      </c>
    </row>
    <row r="7" spans="1:12" ht="15.75" customHeight="1" thickBot="1">
      <c r="B7" s="1594"/>
      <c r="F7" s="1447" t="s">
        <v>1008</v>
      </c>
      <c r="G7" s="1628">
        <f>PERCENTILE(D13:D1012,0.025)</f>
        <v>2719365.4824631587</v>
      </c>
      <c r="I7" s="2151">
        <v>0.42</v>
      </c>
      <c r="J7" s="1878">
        <v>0.62</v>
      </c>
      <c r="K7" s="1878">
        <v>0.82</v>
      </c>
      <c r="L7" s="2152" t="s">
        <v>1032</v>
      </c>
    </row>
    <row r="8" spans="1:12" ht="15.75" customHeight="1" thickBot="1">
      <c r="A8" s="1635" t="s">
        <v>1031</v>
      </c>
      <c r="B8" s="1636">
        <f>IF(OR('QM Simulation Summary'!A2=1,'QM Simulation Summary'!A2=3),B6,1)</f>
        <v>1</v>
      </c>
      <c r="C8" s="2100" t="s">
        <v>1030</v>
      </c>
      <c r="D8" s="2100"/>
      <c r="E8" s="2100"/>
      <c r="F8" s="1447" t="s">
        <v>1029</v>
      </c>
      <c r="G8" s="1628">
        <f>PERCENTILE(D13:D1012,0.975)</f>
        <v>2719365.4824631587</v>
      </c>
      <c r="I8" s="2159">
        <f>PRODUCT(I4:I7)</f>
        <v>0.13562639999999998</v>
      </c>
      <c r="J8" s="2160">
        <f>PRODUCT(J4:J7)</f>
        <v>0.26151599999999997</v>
      </c>
      <c r="K8" s="2160">
        <f>PRODUCT(K4:K7)</f>
        <v>0.44179960000000001</v>
      </c>
      <c r="L8" s="2161" t="s">
        <v>1028</v>
      </c>
    </row>
    <row r="9" spans="1:12" ht="15.75" customHeight="1" thickBot="1">
      <c r="A9" s="1635" t="s">
        <v>1006</v>
      </c>
      <c r="B9" s="1628">
        <f>'FE Cash Flow'!B21</f>
        <v>2719365.4824631587</v>
      </c>
      <c r="C9" s="2100" t="s">
        <v>1027</v>
      </c>
      <c r="D9" s="2100"/>
      <c r="F9" s="1447" t="s">
        <v>1013</v>
      </c>
      <c r="G9" s="1628">
        <f>PERCENTILE(D13:D1012,0.05)</f>
        <v>2719365.4824631587</v>
      </c>
    </row>
    <row r="10" spans="1:12" ht="15.75" customHeight="1">
      <c r="B10" s="1594"/>
      <c r="F10" s="1447" t="s">
        <v>8</v>
      </c>
      <c r="G10" s="1628">
        <f>MIN(D13:D1012)</f>
        <v>2719365.4824631587</v>
      </c>
      <c r="I10" s="2164" t="s">
        <v>12</v>
      </c>
      <c r="J10" s="2162">
        <f>AVERAGE(I8:K8)</f>
        <v>0.2796473333333333</v>
      </c>
      <c r="L10" s="1417" t="s">
        <v>1026</v>
      </c>
    </row>
    <row r="11" spans="1:12" ht="15.75" customHeight="1" thickBot="1">
      <c r="B11" s="1448" t="s">
        <v>1025</v>
      </c>
      <c r="C11" s="1633" t="s">
        <v>1024</v>
      </c>
      <c r="D11" s="1633" t="s">
        <v>1006</v>
      </c>
      <c r="F11" s="1447" t="s">
        <v>9</v>
      </c>
      <c r="G11" s="1628">
        <f>MAX(D13:D1012)</f>
        <v>2719365.4824631587</v>
      </c>
      <c r="I11" s="2165" t="s">
        <v>1016</v>
      </c>
      <c r="J11" s="2163">
        <f>(K8-I8)/SQRT(6)</f>
        <v>0.12499468548585045</v>
      </c>
      <c r="L11" s="1006" t="s">
        <v>1023</v>
      </c>
    </row>
    <row r="12" spans="1:12" ht="15.75" customHeight="1">
      <c r="C12" s="1594"/>
      <c r="D12" s="2103">
        <f>B9</f>
        <v>2719365.4824631587</v>
      </c>
      <c r="E12" s="1417"/>
      <c r="F12" s="1447" t="s">
        <v>1012</v>
      </c>
      <c r="G12" s="1627">
        <f>COUNTIF(D13:D1012,"&lt;0")/1000</f>
        <v>0</v>
      </c>
    </row>
    <row r="13" spans="1:12" ht="15.75" customHeight="1">
      <c r="B13" s="1632">
        <f t="shared" ref="B13:B76" ca="1" si="0">MAX(NORMINV(RAND(),$B$4,$B$5),0)</f>
        <v>1.1203260190059212</v>
      </c>
      <c r="C13" s="1594">
        <v>1</v>
      </c>
      <c r="D13" s="1665">
        <f t="dataTable" ref="D13:D1012" dt2D="0" dtr="0" r1="E12"/>
        <v>2719365.4824631587</v>
      </c>
      <c r="F13" s="1447" t="s">
        <v>1022</v>
      </c>
    </row>
    <row r="14" spans="1:12" ht="16">
      <c r="B14" s="1632">
        <f t="shared" ca="1" si="0"/>
        <v>0.8689879983807981</v>
      </c>
      <c r="C14" s="1594">
        <v>2</v>
      </c>
      <c r="D14" s="1665">
        <v>2719365.4824631587</v>
      </c>
    </row>
    <row r="15" spans="1:12" ht="16">
      <c r="B15" s="1632">
        <f t="shared" ca="1" si="0"/>
        <v>1.2132581322357234</v>
      </c>
      <c r="C15" s="1594">
        <v>3</v>
      </c>
      <c r="D15" s="1665">
        <v>2719365.4824631587</v>
      </c>
    </row>
    <row r="16" spans="1:12" ht="16">
      <c r="B16" s="1632">
        <f t="shared" ca="1" si="0"/>
        <v>1.0643699355213412</v>
      </c>
      <c r="C16" s="1594">
        <v>4</v>
      </c>
      <c r="D16" s="1665">
        <v>2719365.4824631587</v>
      </c>
    </row>
    <row r="17" spans="2:4" ht="16">
      <c r="B17" s="1632">
        <f t="shared" ca="1" si="0"/>
        <v>1.0590222596444927</v>
      </c>
      <c r="C17" s="1594">
        <v>5</v>
      </c>
      <c r="D17" s="1665">
        <v>2719365.4824631587</v>
      </c>
    </row>
    <row r="18" spans="2:4" ht="16">
      <c r="B18" s="1632">
        <f t="shared" ca="1" si="0"/>
        <v>1.0125413680953883</v>
      </c>
      <c r="C18" s="1594">
        <v>6</v>
      </c>
      <c r="D18" s="1665">
        <v>2719365.4824631587</v>
      </c>
    </row>
    <row r="19" spans="2:4" ht="16">
      <c r="B19" s="1632">
        <f t="shared" ca="1" si="0"/>
        <v>1.0656639100034797</v>
      </c>
      <c r="C19" s="1594">
        <v>7</v>
      </c>
      <c r="D19" s="1665">
        <v>2719365.4824631587</v>
      </c>
    </row>
    <row r="20" spans="2:4" ht="16">
      <c r="B20" s="1632">
        <f t="shared" ca="1" si="0"/>
        <v>1.172123513649399</v>
      </c>
      <c r="C20" s="1594">
        <v>8</v>
      </c>
      <c r="D20" s="1665">
        <v>2719365.4824631587</v>
      </c>
    </row>
    <row r="21" spans="2:4" ht="16">
      <c r="B21" s="1632">
        <f t="shared" ca="1" si="0"/>
        <v>0.71849875113727202</v>
      </c>
      <c r="C21" s="1594">
        <v>9</v>
      </c>
      <c r="D21" s="1665">
        <v>2719365.4824631587</v>
      </c>
    </row>
    <row r="22" spans="2:4" ht="16">
      <c r="B22" s="1632">
        <f t="shared" ca="1" si="0"/>
        <v>1.1201537732254669</v>
      </c>
      <c r="C22" s="1594">
        <v>10</v>
      </c>
      <c r="D22" s="1665">
        <v>2719365.4824631587</v>
      </c>
    </row>
    <row r="23" spans="2:4" ht="16">
      <c r="B23" s="1632">
        <f t="shared" ca="1" si="0"/>
        <v>0.83492124975909399</v>
      </c>
      <c r="C23" s="1594">
        <v>11</v>
      </c>
      <c r="D23" s="1665">
        <v>2719365.4824631587</v>
      </c>
    </row>
    <row r="24" spans="2:4" ht="16">
      <c r="B24" s="1632">
        <f t="shared" ca="1" si="0"/>
        <v>0.76701442140059384</v>
      </c>
      <c r="C24" s="1594">
        <v>12</v>
      </c>
      <c r="D24" s="1665">
        <v>2719365.4824631587</v>
      </c>
    </row>
    <row r="25" spans="2:4" ht="16">
      <c r="B25" s="1632">
        <f t="shared" ca="1" si="0"/>
        <v>1.3221808840751785</v>
      </c>
      <c r="C25" s="1594">
        <v>13</v>
      </c>
      <c r="D25" s="1665">
        <v>2719365.4824631587</v>
      </c>
    </row>
    <row r="26" spans="2:4" ht="16">
      <c r="B26" s="1632">
        <f t="shared" ca="1" si="0"/>
        <v>1.0832522329769438</v>
      </c>
      <c r="C26" s="1594">
        <v>14</v>
      </c>
      <c r="D26" s="1665">
        <v>2719365.4824631587</v>
      </c>
    </row>
    <row r="27" spans="2:4" ht="16">
      <c r="B27" s="1632">
        <f t="shared" ca="1" si="0"/>
        <v>0.87840244210274954</v>
      </c>
      <c r="C27" s="1594">
        <v>15</v>
      </c>
      <c r="D27" s="1665">
        <v>2719365.4824631587</v>
      </c>
    </row>
    <row r="28" spans="2:4" ht="16">
      <c r="B28" s="1632">
        <f t="shared" ca="1" si="0"/>
        <v>0.87498827240128585</v>
      </c>
      <c r="C28" s="1594">
        <v>16</v>
      </c>
      <c r="D28" s="1665">
        <v>2719365.4824631587</v>
      </c>
    </row>
    <row r="29" spans="2:4" ht="16">
      <c r="B29" s="1632">
        <f t="shared" ca="1" si="0"/>
        <v>0.84091568149882567</v>
      </c>
      <c r="C29" s="1594">
        <v>17</v>
      </c>
      <c r="D29" s="1665">
        <v>2719365.4824631587</v>
      </c>
    </row>
    <row r="30" spans="2:4" ht="16">
      <c r="B30" s="1632">
        <f t="shared" ca="1" si="0"/>
        <v>0.98374146566192455</v>
      </c>
      <c r="C30" s="1594">
        <v>18</v>
      </c>
      <c r="D30" s="1665">
        <v>2719365.4824631587</v>
      </c>
    </row>
    <row r="31" spans="2:4" ht="16">
      <c r="B31" s="1632">
        <f t="shared" ca="1" si="0"/>
        <v>0.86880358347997677</v>
      </c>
      <c r="C31" s="1594">
        <v>19</v>
      </c>
      <c r="D31" s="1665">
        <v>2719365.4824631587</v>
      </c>
    </row>
    <row r="32" spans="2:4" ht="16">
      <c r="B32" s="1632">
        <f t="shared" ca="1" si="0"/>
        <v>0.93252556235915773</v>
      </c>
      <c r="C32" s="1594">
        <v>20</v>
      </c>
      <c r="D32" s="1665">
        <v>2719365.4824631587</v>
      </c>
    </row>
    <row r="33" spans="2:4" ht="16">
      <c r="B33" s="1632">
        <f t="shared" ca="1" si="0"/>
        <v>0.87061390204538291</v>
      </c>
      <c r="C33" s="1594">
        <v>21</v>
      </c>
      <c r="D33" s="1665">
        <v>2719365.4824631587</v>
      </c>
    </row>
    <row r="34" spans="2:4" ht="16">
      <c r="B34" s="1632">
        <f t="shared" ca="1" si="0"/>
        <v>0.94966897788277305</v>
      </c>
      <c r="C34" s="1594">
        <v>22</v>
      </c>
      <c r="D34" s="1665">
        <v>2719365.4824631587</v>
      </c>
    </row>
    <row r="35" spans="2:4" ht="16">
      <c r="B35" s="1632">
        <f t="shared" ca="1" si="0"/>
        <v>1.0127994663612434</v>
      </c>
      <c r="C35" s="1594">
        <v>23</v>
      </c>
      <c r="D35" s="1665">
        <v>2719365.4824631587</v>
      </c>
    </row>
    <row r="36" spans="2:4" ht="16">
      <c r="B36" s="1632">
        <f t="shared" ca="1" si="0"/>
        <v>1.0072027018803262</v>
      </c>
      <c r="C36" s="1594">
        <v>24</v>
      </c>
      <c r="D36" s="1665">
        <v>2719365.4824631587</v>
      </c>
    </row>
    <row r="37" spans="2:4" ht="16">
      <c r="B37" s="1632">
        <f t="shared" ca="1" si="0"/>
        <v>0.98629874693222752</v>
      </c>
      <c r="C37" s="1594">
        <v>25</v>
      </c>
      <c r="D37" s="1665">
        <v>2719365.4824631587</v>
      </c>
    </row>
    <row r="38" spans="2:4" ht="16">
      <c r="B38" s="1632">
        <f t="shared" ca="1" si="0"/>
        <v>1.0418031275715076</v>
      </c>
      <c r="C38" s="1594">
        <v>26</v>
      </c>
      <c r="D38" s="1665">
        <v>2719365.4824631587</v>
      </c>
    </row>
    <row r="39" spans="2:4" ht="16">
      <c r="B39" s="1632">
        <f t="shared" ca="1" si="0"/>
        <v>1.0230772708613698</v>
      </c>
      <c r="C39" s="1594">
        <v>27</v>
      </c>
      <c r="D39" s="1665">
        <v>2719365.4824631587</v>
      </c>
    </row>
    <row r="40" spans="2:4" ht="16">
      <c r="B40" s="1632">
        <f t="shared" ca="1" si="0"/>
        <v>0.97170194575850333</v>
      </c>
      <c r="C40" s="1594">
        <v>28</v>
      </c>
      <c r="D40" s="1665">
        <v>2719365.4824631587</v>
      </c>
    </row>
    <row r="41" spans="2:4" ht="16">
      <c r="B41" s="1632">
        <f t="shared" ca="1" si="0"/>
        <v>0.88246333794502463</v>
      </c>
      <c r="C41" s="1594">
        <v>29</v>
      </c>
      <c r="D41" s="1665">
        <v>2719365.4824631587</v>
      </c>
    </row>
    <row r="42" spans="2:4" ht="16">
      <c r="B42" s="1632">
        <f t="shared" ca="1" si="0"/>
        <v>1.0096914190570034</v>
      </c>
      <c r="C42" s="1594">
        <v>30</v>
      </c>
      <c r="D42" s="1665">
        <v>2719365.4824631587</v>
      </c>
    </row>
    <row r="43" spans="2:4" ht="16">
      <c r="B43" s="1632">
        <f t="shared" ca="1" si="0"/>
        <v>1.0799329467410301</v>
      </c>
      <c r="C43" s="1594">
        <v>31</v>
      </c>
      <c r="D43" s="1665">
        <v>2719365.4824631587</v>
      </c>
    </row>
    <row r="44" spans="2:4" ht="16">
      <c r="B44" s="1632">
        <f t="shared" ca="1" si="0"/>
        <v>0.95410841526052659</v>
      </c>
      <c r="C44" s="1594">
        <v>32</v>
      </c>
      <c r="D44" s="1665">
        <v>2719365.4824631587</v>
      </c>
    </row>
    <row r="45" spans="2:4" ht="16">
      <c r="B45" s="1632">
        <f t="shared" ca="1" si="0"/>
        <v>1.0732940801958051</v>
      </c>
      <c r="C45" s="1594">
        <v>33</v>
      </c>
      <c r="D45" s="1665">
        <v>2719365.4824631587</v>
      </c>
    </row>
    <row r="46" spans="2:4" ht="16">
      <c r="B46" s="1632">
        <f t="shared" ca="1" si="0"/>
        <v>1.0444388711768495</v>
      </c>
      <c r="C46" s="1594">
        <v>34</v>
      </c>
      <c r="D46" s="1665">
        <v>2719365.4824631587</v>
      </c>
    </row>
    <row r="47" spans="2:4" ht="16">
      <c r="B47" s="1632">
        <f t="shared" ca="1" si="0"/>
        <v>1.1700573437937181</v>
      </c>
      <c r="C47" s="1594">
        <v>35</v>
      </c>
      <c r="D47" s="1665">
        <v>2719365.4824631587</v>
      </c>
    </row>
    <row r="48" spans="2:4" ht="16">
      <c r="B48" s="1632">
        <f t="shared" ca="1" si="0"/>
        <v>0.96622290563506752</v>
      </c>
      <c r="C48" s="1594">
        <v>36</v>
      </c>
      <c r="D48" s="1665">
        <v>2719365.4824631587</v>
      </c>
    </row>
    <row r="49" spans="2:4" ht="16">
      <c r="B49" s="1632">
        <f t="shared" ca="1" si="0"/>
        <v>1.2919048443362739</v>
      </c>
      <c r="C49" s="1594">
        <v>37</v>
      </c>
      <c r="D49" s="1665">
        <v>2719365.4824631587</v>
      </c>
    </row>
    <row r="50" spans="2:4" ht="16">
      <c r="B50" s="1632">
        <f t="shared" ca="1" si="0"/>
        <v>1.1530390369963079</v>
      </c>
      <c r="C50" s="1594">
        <v>38</v>
      </c>
      <c r="D50" s="1665">
        <v>2719365.4824631587</v>
      </c>
    </row>
    <row r="51" spans="2:4" ht="16">
      <c r="B51" s="1632">
        <f t="shared" ca="1" si="0"/>
        <v>1.1632233116563966</v>
      </c>
      <c r="C51" s="1594">
        <v>39</v>
      </c>
      <c r="D51" s="1665">
        <v>2719365.4824631587</v>
      </c>
    </row>
    <row r="52" spans="2:4" ht="16">
      <c r="B52" s="1632">
        <f t="shared" ca="1" si="0"/>
        <v>0.95915592790794701</v>
      </c>
      <c r="C52" s="1594">
        <v>40</v>
      </c>
      <c r="D52" s="1665">
        <v>2719365.4824631587</v>
      </c>
    </row>
    <row r="53" spans="2:4" ht="16">
      <c r="B53" s="1632">
        <f t="shared" ca="1" si="0"/>
        <v>1.068386353517782</v>
      </c>
      <c r="C53" s="1594">
        <v>41</v>
      </c>
      <c r="D53" s="1665">
        <v>2719365.4824631587</v>
      </c>
    </row>
    <row r="54" spans="2:4" ht="16">
      <c r="B54" s="1632">
        <f t="shared" ca="1" si="0"/>
        <v>0.95100561713955956</v>
      </c>
      <c r="C54" s="1594">
        <v>42</v>
      </c>
      <c r="D54" s="1665">
        <v>2719365.4824631587</v>
      </c>
    </row>
    <row r="55" spans="2:4" ht="16">
      <c r="B55" s="1632">
        <f t="shared" ca="1" si="0"/>
        <v>1.003437122064385</v>
      </c>
      <c r="C55" s="1594">
        <v>43</v>
      </c>
      <c r="D55" s="1665">
        <v>2719365.4824631587</v>
      </c>
    </row>
    <row r="56" spans="2:4" ht="16">
      <c r="B56" s="1632">
        <f t="shared" ca="1" si="0"/>
        <v>1.1407645977627134</v>
      </c>
      <c r="C56" s="1594">
        <v>44</v>
      </c>
      <c r="D56" s="1665">
        <v>2719365.4824631587</v>
      </c>
    </row>
    <row r="57" spans="2:4" ht="16">
      <c r="B57" s="1632">
        <f t="shared" ca="1" si="0"/>
        <v>1.0114844404787382</v>
      </c>
      <c r="C57" s="1594">
        <v>45</v>
      </c>
      <c r="D57" s="1665">
        <v>2719365.4824631587</v>
      </c>
    </row>
    <row r="58" spans="2:4" ht="16">
      <c r="B58" s="1632">
        <f t="shared" ca="1" si="0"/>
        <v>0.9544302201433339</v>
      </c>
      <c r="C58" s="1594">
        <v>46</v>
      </c>
      <c r="D58" s="1665">
        <v>2719365.4824631587</v>
      </c>
    </row>
    <row r="59" spans="2:4" ht="16">
      <c r="B59" s="1632">
        <f t="shared" ca="1" si="0"/>
        <v>1.0197787269136989</v>
      </c>
      <c r="C59" s="1594">
        <v>47</v>
      </c>
      <c r="D59" s="1665">
        <v>2719365.4824631587</v>
      </c>
    </row>
    <row r="60" spans="2:4" ht="16">
      <c r="B60" s="1632">
        <f t="shared" ca="1" si="0"/>
        <v>1.0859266084900971</v>
      </c>
      <c r="C60" s="1594">
        <v>48</v>
      </c>
      <c r="D60" s="1665">
        <v>2719365.4824631587</v>
      </c>
    </row>
    <row r="61" spans="2:4" ht="16">
      <c r="B61" s="1632">
        <f t="shared" ca="1" si="0"/>
        <v>0.97407716844654035</v>
      </c>
      <c r="C61" s="1594">
        <v>49</v>
      </c>
      <c r="D61" s="1665">
        <v>2719365.4824631587</v>
      </c>
    </row>
    <row r="62" spans="2:4" ht="16">
      <c r="B62" s="1632">
        <f t="shared" ca="1" si="0"/>
        <v>1.118855894533036</v>
      </c>
      <c r="C62" s="1594">
        <v>50</v>
      </c>
      <c r="D62" s="1665">
        <v>2719365.4824631587</v>
      </c>
    </row>
    <row r="63" spans="2:4" ht="16">
      <c r="B63" s="1632">
        <f t="shared" ca="1" si="0"/>
        <v>1.0534848688826746</v>
      </c>
      <c r="C63" s="1594">
        <v>51</v>
      </c>
      <c r="D63" s="1665">
        <v>2719365.4824631587</v>
      </c>
    </row>
    <row r="64" spans="2:4" ht="16">
      <c r="B64" s="1632">
        <f t="shared" ca="1" si="0"/>
        <v>0.95044448774756707</v>
      </c>
      <c r="C64" s="1594">
        <v>52</v>
      </c>
      <c r="D64" s="1665">
        <v>2719365.4824631587</v>
      </c>
    </row>
    <row r="65" spans="2:4" ht="16">
      <c r="B65" s="1632">
        <f t="shared" ca="1" si="0"/>
        <v>0.82429712464608129</v>
      </c>
      <c r="C65" s="1594">
        <v>53</v>
      </c>
      <c r="D65" s="1665">
        <v>2719365.4824631587</v>
      </c>
    </row>
    <row r="66" spans="2:4" ht="16">
      <c r="B66" s="1632">
        <f t="shared" ca="1" si="0"/>
        <v>1.0981440839110499</v>
      </c>
      <c r="C66" s="1594">
        <v>54</v>
      </c>
      <c r="D66" s="1665">
        <v>2719365.4824631587</v>
      </c>
    </row>
    <row r="67" spans="2:4" ht="16">
      <c r="B67" s="1632">
        <f t="shared" ca="1" si="0"/>
        <v>0.78480583761082934</v>
      </c>
      <c r="C67" s="1594">
        <v>55</v>
      </c>
      <c r="D67" s="1665">
        <v>2719365.4824631587</v>
      </c>
    </row>
    <row r="68" spans="2:4" ht="16">
      <c r="B68" s="1632">
        <f t="shared" ca="1" si="0"/>
        <v>0.94856858254101173</v>
      </c>
      <c r="C68" s="1594">
        <v>56</v>
      </c>
      <c r="D68" s="1665">
        <v>2719365.4824631587</v>
      </c>
    </row>
    <row r="69" spans="2:4" ht="16">
      <c r="B69" s="1632">
        <f t="shared" ca="1" si="0"/>
        <v>0.88709830218928587</v>
      </c>
      <c r="C69" s="1594">
        <v>57</v>
      </c>
      <c r="D69" s="1665">
        <v>2719365.4824631587</v>
      </c>
    </row>
    <row r="70" spans="2:4" ht="16">
      <c r="B70" s="1632">
        <f t="shared" ca="1" si="0"/>
        <v>1.1225311831446727</v>
      </c>
      <c r="C70" s="1594">
        <v>58</v>
      </c>
      <c r="D70" s="1665">
        <v>2719365.4824631587</v>
      </c>
    </row>
    <row r="71" spans="2:4" ht="16">
      <c r="B71" s="1632">
        <f t="shared" ca="1" si="0"/>
        <v>1.0500328016321534</v>
      </c>
      <c r="C71" s="1594">
        <v>59</v>
      </c>
      <c r="D71" s="1665">
        <v>2719365.4824631587</v>
      </c>
    </row>
    <row r="72" spans="2:4" ht="16">
      <c r="B72" s="1632">
        <f t="shared" ca="1" si="0"/>
        <v>1.1005073499552838</v>
      </c>
      <c r="C72" s="1594">
        <v>60</v>
      </c>
      <c r="D72" s="1665">
        <v>2719365.4824631587</v>
      </c>
    </row>
    <row r="73" spans="2:4" ht="16">
      <c r="B73" s="1632">
        <f t="shared" ca="1" si="0"/>
        <v>0.97810881923676973</v>
      </c>
      <c r="C73" s="1594">
        <v>61</v>
      </c>
      <c r="D73" s="1665">
        <v>2719365.4824631587</v>
      </c>
    </row>
    <row r="74" spans="2:4" ht="16">
      <c r="B74" s="1632">
        <f t="shared" ca="1" si="0"/>
        <v>0.98721189335356208</v>
      </c>
      <c r="C74" s="1594">
        <v>62</v>
      </c>
      <c r="D74" s="1665">
        <v>2719365.4824631587</v>
      </c>
    </row>
    <row r="75" spans="2:4" ht="16">
      <c r="B75" s="1632">
        <f t="shared" ca="1" si="0"/>
        <v>0.7819413236847419</v>
      </c>
      <c r="C75" s="1594">
        <v>63</v>
      </c>
      <c r="D75" s="1665">
        <v>2719365.4824631587</v>
      </c>
    </row>
    <row r="76" spans="2:4" ht="16">
      <c r="B76" s="1632">
        <f t="shared" ca="1" si="0"/>
        <v>0.950176979521837</v>
      </c>
      <c r="C76" s="1594">
        <v>64</v>
      </c>
      <c r="D76" s="1665">
        <v>2719365.4824631587</v>
      </c>
    </row>
    <row r="77" spans="2:4" ht="16">
      <c r="B77" s="1632">
        <f t="shared" ref="B77:B140" ca="1" si="1">MAX(NORMINV(RAND(),$B$4,$B$5),0)</f>
        <v>1.0109395428408643</v>
      </c>
      <c r="C77" s="1594">
        <v>65</v>
      </c>
      <c r="D77" s="1665">
        <v>2719365.4824631587</v>
      </c>
    </row>
    <row r="78" spans="2:4" ht="16">
      <c r="B78" s="1632">
        <f t="shared" ca="1" si="1"/>
        <v>1.1613911664112224</v>
      </c>
      <c r="C78" s="1594">
        <v>66</v>
      </c>
      <c r="D78" s="1665">
        <v>2719365.4824631587</v>
      </c>
    </row>
    <row r="79" spans="2:4" ht="16">
      <c r="B79" s="1632">
        <f t="shared" ca="1" si="1"/>
        <v>1.0060733828075796</v>
      </c>
      <c r="C79" s="1594">
        <v>67</v>
      </c>
      <c r="D79" s="1665">
        <v>2719365.4824631587</v>
      </c>
    </row>
    <row r="80" spans="2:4" ht="16">
      <c r="B80" s="1632">
        <f t="shared" ca="1" si="1"/>
        <v>0.97539109970323579</v>
      </c>
      <c r="C80" s="1594">
        <v>68</v>
      </c>
      <c r="D80" s="1665">
        <v>2719365.4824631587</v>
      </c>
    </row>
    <row r="81" spans="2:4" ht="16">
      <c r="B81" s="1632">
        <f t="shared" ca="1" si="1"/>
        <v>0.9201473978838236</v>
      </c>
      <c r="C81" s="1594">
        <v>69</v>
      </c>
      <c r="D81" s="1665">
        <v>2719365.4824631587</v>
      </c>
    </row>
    <row r="82" spans="2:4" ht="16">
      <c r="B82" s="1632">
        <f t="shared" ca="1" si="1"/>
        <v>0.87463716538216385</v>
      </c>
      <c r="C82" s="1594">
        <v>70</v>
      </c>
      <c r="D82" s="1665">
        <v>2719365.4824631587</v>
      </c>
    </row>
    <row r="83" spans="2:4" ht="16">
      <c r="B83" s="1632">
        <f t="shared" ca="1" si="1"/>
        <v>1.0281406367059565</v>
      </c>
      <c r="C83" s="1594">
        <v>71</v>
      </c>
      <c r="D83" s="1665">
        <v>2719365.4824631587</v>
      </c>
    </row>
    <row r="84" spans="2:4" ht="16">
      <c r="B84" s="1632">
        <f t="shared" ca="1" si="1"/>
        <v>1.3280252372633987</v>
      </c>
      <c r="C84" s="1594">
        <v>72</v>
      </c>
      <c r="D84" s="1665">
        <v>2719365.4824631587</v>
      </c>
    </row>
    <row r="85" spans="2:4" ht="16">
      <c r="B85" s="1632">
        <f t="shared" ca="1" si="1"/>
        <v>1.2293957412227117</v>
      </c>
      <c r="C85" s="1594">
        <v>73</v>
      </c>
      <c r="D85" s="1665">
        <v>2719365.4824631587</v>
      </c>
    </row>
    <row r="86" spans="2:4" ht="16">
      <c r="B86" s="1632">
        <f t="shared" ca="1" si="1"/>
        <v>0.7724571272052172</v>
      </c>
      <c r="C86" s="1594">
        <v>74</v>
      </c>
      <c r="D86" s="1665">
        <v>2719365.4824631587</v>
      </c>
    </row>
    <row r="87" spans="2:4" ht="16">
      <c r="B87" s="1632">
        <f t="shared" ca="1" si="1"/>
        <v>1.0115931829989147</v>
      </c>
      <c r="C87" s="1594">
        <v>75</v>
      </c>
      <c r="D87" s="1665">
        <v>2719365.4824631587</v>
      </c>
    </row>
    <row r="88" spans="2:4" ht="16">
      <c r="B88" s="1632">
        <f t="shared" ca="1" si="1"/>
        <v>0.79721170545018738</v>
      </c>
      <c r="C88" s="1594">
        <v>76</v>
      </c>
      <c r="D88" s="1665">
        <v>2719365.4824631587</v>
      </c>
    </row>
    <row r="89" spans="2:4" ht="16">
      <c r="B89" s="1632">
        <f t="shared" ca="1" si="1"/>
        <v>1.2388854187105778</v>
      </c>
      <c r="C89" s="1594">
        <v>77</v>
      </c>
      <c r="D89" s="1665">
        <v>2719365.4824631587</v>
      </c>
    </row>
    <row r="90" spans="2:4" ht="16">
      <c r="B90" s="1632">
        <f t="shared" ca="1" si="1"/>
        <v>0.80403827891077095</v>
      </c>
      <c r="C90" s="1594">
        <v>78</v>
      </c>
      <c r="D90" s="1665">
        <v>2719365.4824631587</v>
      </c>
    </row>
    <row r="91" spans="2:4" ht="16">
      <c r="B91" s="1632">
        <f t="shared" ca="1" si="1"/>
        <v>0.99686526559812783</v>
      </c>
      <c r="C91" s="1594">
        <v>79</v>
      </c>
      <c r="D91" s="1665">
        <v>2719365.4824631587</v>
      </c>
    </row>
    <row r="92" spans="2:4" ht="16">
      <c r="B92" s="1632">
        <f t="shared" ca="1" si="1"/>
        <v>1.1674930012939686</v>
      </c>
      <c r="C92" s="1594">
        <v>80</v>
      </c>
      <c r="D92" s="1665">
        <v>2719365.4824631587</v>
      </c>
    </row>
    <row r="93" spans="2:4" ht="16">
      <c r="B93" s="1632">
        <f t="shared" ca="1" si="1"/>
        <v>1.0131850478852658</v>
      </c>
      <c r="C93" s="1594">
        <v>81</v>
      </c>
      <c r="D93" s="1665">
        <v>2719365.4824631587</v>
      </c>
    </row>
    <row r="94" spans="2:4" ht="16">
      <c r="B94" s="1632">
        <f t="shared" ca="1" si="1"/>
        <v>0.91542326393146101</v>
      </c>
      <c r="C94" s="1594">
        <v>82</v>
      </c>
      <c r="D94" s="1665">
        <v>2719365.4824631587</v>
      </c>
    </row>
    <row r="95" spans="2:4" ht="16">
      <c r="B95" s="1632">
        <f t="shared" ca="1" si="1"/>
        <v>0.98447949858696104</v>
      </c>
      <c r="C95" s="1594">
        <v>83</v>
      </c>
      <c r="D95" s="1665">
        <v>2719365.4824631587</v>
      </c>
    </row>
    <row r="96" spans="2:4" ht="16">
      <c r="B96" s="1632">
        <f t="shared" ca="1" si="1"/>
        <v>0.90559111278538262</v>
      </c>
      <c r="C96" s="1594">
        <v>84</v>
      </c>
      <c r="D96" s="1665">
        <v>2719365.4824631587</v>
      </c>
    </row>
    <row r="97" spans="2:4" ht="16">
      <c r="B97" s="1632">
        <f t="shared" ca="1" si="1"/>
        <v>0.88855181050114806</v>
      </c>
      <c r="C97" s="1594">
        <v>85</v>
      </c>
      <c r="D97" s="1665">
        <v>2719365.4824631587</v>
      </c>
    </row>
    <row r="98" spans="2:4" ht="16">
      <c r="B98" s="1632">
        <f t="shared" ca="1" si="1"/>
        <v>1.0963915132367887</v>
      </c>
      <c r="C98" s="1594">
        <v>86</v>
      </c>
      <c r="D98" s="1665">
        <v>2719365.4824631587</v>
      </c>
    </row>
    <row r="99" spans="2:4" ht="16">
      <c r="B99" s="1632">
        <f t="shared" ca="1" si="1"/>
        <v>0.91940368735245925</v>
      </c>
      <c r="C99" s="1594">
        <v>87</v>
      </c>
      <c r="D99" s="1665">
        <v>2719365.4824631587</v>
      </c>
    </row>
    <row r="100" spans="2:4" ht="16">
      <c r="B100" s="1632">
        <f t="shared" ca="1" si="1"/>
        <v>0.86053586429693063</v>
      </c>
      <c r="C100" s="1594">
        <v>88</v>
      </c>
      <c r="D100" s="1665">
        <v>2719365.4824631587</v>
      </c>
    </row>
    <row r="101" spans="2:4" ht="16">
      <c r="B101" s="1632">
        <f t="shared" ca="1" si="1"/>
        <v>1.1950782613825768</v>
      </c>
      <c r="C101" s="1594">
        <v>89</v>
      </c>
      <c r="D101" s="1665">
        <v>2719365.4824631587</v>
      </c>
    </row>
    <row r="102" spans="2:4" ht="16">
      <c r="B102" s="1632">
        <f t="shared" ca="1" si="1"/>
        <v>1.0244582303018421</v>
      </c>
      <c r="C102" s="1594">
        <v>90</v>
      </c>
      <c r="D102" s="1665">
        <v>2719365.4824631587</v>
      </c>
    </row>
    <row r="103" spans="2:4" ht="16">
      <c r="B103" s="1632">
        <f t="shared" ca="1" si="1"/>
        <v>0.86245111463203827</v>
      </c>
      <c r="C103" s="1594">
        <v>91</v>
      </c>
      <c r="D103" s="1665">
        <v>2719365.4824631587</v>
      </c>
    </row>
    <row r="104" spans="2:4" ht="16">
      <c r="B104" s="1632">
        <f t="shared" ca="1" si="1"/>
        <v>1.1252698379710688</v>
      </c>
      <c r="C104" s="1594">
        <v>92</v>
      </c>
      <c r="D104" s="1665">
        <v>2719365.4824631587</v>
      </c>
    </row>
    <row r="105" spans="2:4" ht="16">
      <c r="B105" s="1632">
        <f t="shared" ca="1" si="1"/>
        <v>1.0809199414955961</v>
      </c>
      <c r="C105" s="1594">
        <v>93</v>
      </c>
      <c r="D105" s="1665">
        <v>2719365.4824631587</v>
      </c>
    </row>
    <row r="106" spans="2:4" ht="16">
      <c r="B106" s="1632">
        <f t="shared" ca="1" si="1"/>
        <v>0.87496058567856982</v>
      </c>
      <c r="C106" s="1594">
        <v>94</v>
      </c>
      <c r="D106" s="1665">
        <v>2719365.4824631587</v>
      </c>
    </row>
    <row r="107" spans="2:4" ht="16">
      <c r="B107" s="1632">
        <f t="shared" ca="1" si="1"/>
        <v>0.96244306520417033</v>
      </c>
      <c r="C107" s="1594">
        <v>95</v>
      </c>
      <c r="D107" s="1665">
        <v>2719365.4824631587</v>
      </c>
    </row>
    <row r="108" spans="2:4" ht="16">
      <c r="B108" s="1632">
        <f t="shared" ca="1" si="1"/>
        <v>1.0726302960798171</v>
      </c>
      <c r="C108" s="1594">
        <v>96</v>
      </c>
      <c r="D108" s="1665">
        <v>2719365.4824631587</v>
      </c>
    </row>
    <row r="109" spans="2:4" ht="16">
      <c r="B109" s="1632">
        <f t="shared" ca="1" si="1"/>
        <v>1.0167863122555634</v>
      </c>
      <c r="C109" s="1594">
        <v>97</v>
      </c>
      <c r="D109" s="1665">
        <v>2719365.4824631587</v>
      </c>
    </row>
    <row r="110" spans="2:4" ht="16">
      <c r="B110" s="1632">
        <f t="shared" ca="1" si="1"/>
        <v>1.0208934355133594</v>
      </c>
      <c r="C110" s="1594">
        <v>98</v>
      </c>
      <c r="D110" s="1665">
        <v>2719365.4824631587</v>
      </c>
    </row>
    <row r="111" spans="2:4" ht="16">
      <c r="B111" s="1632">
        <f t="shared" ca="1" si="1"/>
        <v>1.0908195430030736</v>
      </c>
      <c r="C111" s="1594">
        <v>99</v>
      </c>
      <c r="D111" s="1665">
        <v>2719365.4824631587</v>
      </c>
    </row>
    <row r="112" spans="2:4" ht="16">
      <c r="B112" s="1632">
        <f t="shared" ca="1" si="1"/>
        <v>1.0719342114345622</v>
      </c>
      <c r="C112" s="1594">
        <v>100</v>
      </c>
      <c r="D112" s="1665">
        <v>2719365.4824631587</v>
      </c>
    </row>
    <row r="113" spans="2:4" ht="16">
      <c r="B113" s="1632">
        <f t="shared" ca="1" si="1"/>
        <v>1.1404140364935029</v>
      </c>
      <c r="C113" s="1594">
        <v>101</v>
      </c>
      <c r="D113" s="1665">
        <v>2719365.4824631587</v>
      </c>
    </row>
    <row r="114" spans="2:4" ht="16">
      <c r="B114" s="1632">
        <f t="shared" ca="1" si="1"/>
        <v>1.142549699529692</v>
      </c>
      <c r="C114" s="1594">
        <v>102</v>
      </c>
      <c r="D114" s="1665">
        <v>2719365.4824631587</v>
      </c>
    </row>
    <row r="115" spans="2:4" ht="16">
      <c r="B115" s="1632">
        <f t="shared" ca="1" si="1"/>
        <v>0.87449101264640205</v>
      </c>
      <c r="C115" s="1594">
        <v>103</v>
      </c>
      <c r="D115" s="1665">
        <v>2719365.4824631587</v>
      </c>
    </row>
    <row r="116" spans="2:4" ht="16">
      <c r="B116" s="1632">
        <f t="shared" ca="1" si="1"/>
        <v>0.92193957637814694</v>
      </c>
      <c r="C116" s="1594">
        <v>104</v>
      </c>
      <c r="D116" s="1665">
        <v>2719365.4824631587</v>
      </c>
    </row>
    <row r="117" spans="2:4" ht="16">
      <c r="B117" s="1632">
        <f t="shared" ca="1" si="1"/>
        <v>0.92721189463468734</v>
      </c>
      <c r="C117" s="1594">
        <v>105</v>
      </c>
      <c r="D117" s="1665">
        <v>2719365.4824631587</v>
      </c>
    </row>
    <row r="118" spans="2:4" ht="16">
      <c r="B118" s="1632">
        <f t="shared" ca="1" si="1"/>
        <v>0.99712768675882713</v>
      </c>
      <c r="C118" s="1594">
        <v>106</v>
      </c>
      <c r="D118" s="1665">
        <v>2719365.4824631587</v>
      </c>
    </row>
    <row r="119" spans="2:4" ht="16">
      <c r="B119" s="1632">
        <f t="shared" ca="1" si="1"/>
        <v>1.0940760822551181</v>
      </c>
      <c r="C119" s="1594">
        <v>107</v>
      </c>
      <c r="D119" s="1665">
        <v>2719365.4824631587</v>
      </c>
    </row>
    <row r="120" spans="2:4" ht="16">
      <c r="B120" s="1632">
        <f t="shared" ca="1" si="1"/>
        <v>1.0048694194420782</v>
      </c>
      <c r="C120" s="1594">
        <v>108</v>
      </c>
      <c r="D120" s="1665">
        <v>2719365.4824631587</v>
      </c>
    </row>
    <row r="121" spans="2:4" ht="16">
      <c r="B121" s="1632">
        <f t="shared" ca="1" si="1"/>
        <v>1.0467095269545637</v>
      </c>
      <c r="C121" s="1594">
        <v>109</v>
      </c>
      <c r="D121" s="1665">
        <v>2719365.4824631587</v>
      </c>
    </row>
    <row r="122" spans="2:4" ht="16">
      <c r="B122" s="1632">
        <f t="shared" ca="1" si="1"/>
        <v>0.8570972794934516</v>
      </c>
      <c r="C122" s="1594">
        <v>110</v>
      </c>
      <c r="D122" s="1665">
        <v>2719365.4824631587</v>
      </c>
    </row>
    <row r="123" spans="2:4" ht="16">
      <c r="B123" s="1632">
        <f t="shared" ca="1" si="1"/>
        <v>0.98833213082194593</v>
      </c>
      <c r="C123" s="1594">
        <v>111</v>
      </c>
      <c r="D123" s="1665">
        <v>2719365.4824631587</v>
      </c>
    </row>
    <row r="124" spans="2:4" ht="16">
      <c r="B124" s="1632">
        <f t="shared" ca="1" si="1"/>
        <v>0.77671885961792897</v>
      </c>
      <c r="C124" s="1594">
        <v>112</v>
      </c>
      <c r="D124" s="1665">
        <v>2719365.4824631587</v>
      </c>
    </row>
    <row r="125" spans="2:4" ht="16">
      <c r="B125" s="1632">
        <f t="shared" ca="1" si="1"/>
        <v>1.0924406628758976</v>
      </c>
      <c r="C125" s="1594">
        <v>113</v>
      </c>
      <c r="D125" s="1665">
        <v>2719365.4824631587</v>
      </c>
    </row>
    <row r="126" spans="2:4" ht="16">
      <c r="B126" s="1632">
        <f t="shared" ca="1" si="1"/>
        <v>1.0572852067774188</v>
      </c>
      <c r="C126" s="1594">
        <v>114</v>
      </c>
      <c r="D126" s="1665">
        <v>2719365.4824631587</v>
      </c>
    </row>
    <row r="127" spans="2:4" ht="16">
      <c r="B127" s="1632">
        <f t="shared" ca="1" si="1"/>
        <v>0.95464838848329514</v>
      </c>
      <c r="C127" s="1594">
        <v>115</v>
      </c>
      <c r="D127" s="1665">
        <v>2719365.4824631587</v>
      </c>
    </row>
    <row r="128" spans="2:4" ht="16">
      <c r="B128" s="1632">
        <f t="shared" ca="1" si="1"/>
        <v>0.8890644514454491</v>
      </c>
      <c r="C128" s="1594">
        <v>116</v>
      </c>
      <c r="D128" s="1665">
        <v>2719365.4824631587</v>
      </c>
    </row>
    <row r="129" spans="2:4" ht="16">
      <c r="B129" s="1632">
        <f t="shared" ca="1" si="1"/>
        <v>0.72091548215930024</v>
      </c>
      <c r="C129" s="1594">
        <v>117</v>
      </c>
      <c r="D129" s="1665">
        <v>2719365.4824631587</v>
      </c>
    </row>
    <row r="130" spans="2:4" ht="16">
      <c r="B130" s="1632">
        <f t="shared" ca="1" si="1"/>
        <v>0.94702213603122742</v>
      </c>
      <c r="C130" s="1594">
        <v>118</v>
      </c>
      <c r="D130" s="1665">
        <v>2719365.4824631587</v>
      </c>
    </row>
    <row r="131" spans="2:4" ht="16">
      <c r="B131" s="1632">
        <f t="shared" ca="1" si="1"/>
        <v>1.1677630254561489</v>
      </c>
      <c r="C131" s="1594">
        <v>119</v>
      </c>
      <c r="D131" s="1665">
        <v>2719365.4824631587</v>
      </c>
    </row>
    <row r="132" spans="2:4" ht="16">
      <c r="B132" s="1632">
        <f t="shared" ca="1" si="1"/>
        <v>1.2534519140485971</v>
      </c>
      <c r="C132" s="1594">
        <v>120</v>
      </c>
      <c r="D132" s="1665">
        <v>2719365.4824631587</v>
      </c>
    </row>
    <row r="133" spans="2:4" ht="16">
      <c r="B133" s="1632">
        <f t="shared" ca="1" si="1"/>
        <v>1.1121721422874353</v>
      </c>
      <c r="C133" s="1594">
        <v>121</v>
      </c>
      <c r="D133" s="1665">
        <v>2719365.4824631587</v>
      </c>
    </row>
    <row r="134" spans="2:4" ht="16">
      <c r="B134" s="1632">
        <f t="shared" ca="1" si="1"/>
        <v>1.0128680499313121</v>
      </c>
      <c r="C134" s="1594">
        <v>122</v>
      </c>
      <c r="D134" s="1665">
        <v>2719365.4824631587</v>
      </c>
    </row>
    <row r="135" spans="2:4" ht="16">
      <c r="B135" s="1632">
        <f t="shared" ca="1" si="1"/>
        <v>1.0963950521259702</v>
      </c>
      <c r="C135" s="1594">
        <v>123</v>
      </c>
      <c r="D135" s="1665">
        <v>2719365.4824631587</v>
      </c>
    </row>
    <row r="136" spans="2:4" ht="16">
      <c r="B136" s="1632">
        <f t="shared" ca="1" si="1"/>
        <v>0.99070808814235733</v>
      </c>
      <c r="C136" s="1594">
        <v>124</v>
      </c>
      <c r="D136" s="1665">
        <v>2719365.4824631587</v>
      </c>
    </row>
    <row r="137" spans="2:4" ht="16">
      <c r="B137" s="1632">
        <f t="shared" ca="1" si="1"/>
        <v>1.0634770728259537</v>
      </c>
      <c r="C137" s="1594">
        <v>125</v>
      </c>
      <c r="D137" s="1665">
        <v>2719365.4824631587</v>
      </c>
    </row>
    <row r="138" spans="2:4" ht="16">
      <c r="B138" s="1632">
        <f t="shared" ca="1" si="1"/>
        <v>1.0394473228945371</v>
      </c>
      <c r="C138" s="1594">
        <v>126</v>
      </c>
      <c r="D138" s="1665">
        <v>2719365.4824631587</v>
      </c>
    </row>
    <row r="139" spans="2:4" ht="16">
      <c r="B139" s="1632">
        <f t="shared" ca="1" si="1"/>
        <v>1.0224694753771186</v>
      </c>
      <c r="C139" s="1594">
        <v>127</v>
      </c>
      <c r="D139" s="1665">
        <v>2719365.4824631587</v>
      </c>
    </row>
    <row r="140" spans="2:4" ht="16">
      <c r="B140" s="1632">
        <f t="shared" ca="1" si="1"/>
        <v>0.97282171813304352</v>
      </c>
      <c r="C140" s="1594">
        <v>128</v>
      </c>
      <c r="D140" s="1665">
        <v>2719365.4824631587</v>
      </c>
    </row>
    <row r="141" spans="2:4" ht="16">
      <c r="B141" s="1632">
        <f t="shared" ref="B141:B204" ca="1" si="2">MAX(NORMINV(RAND(),$B$4,$B$5),0)</f>
        <v>0.99541924361481326</v>
      </c>
      <c r="C141" s="1594">
        <v>129</v>
      </c>
      <c r="D141" s="1665">
        <v>2719365.4824631587</v>
      </c>
    </row>
    <row r="142" spans="2:4" ht="16">
      <c r="B142" s="1632">
        <f t="shared" ca="1" si="2"/>
        <v>1.029223104220613</v>
      </c>
      <c r="C142" s="1594">
        <v>130</v>
      </c>
      <c r="D142" s="1665">
        <v>2719365.4824631587</v>
      </c>
    </row>
    <row r="143" spans="2:4" ht="16">
      <c r="B143" s="1632">
        <f t="shared" ca="1" si="2"/>
        <v>1.0929126478720554</v>
      </c>
      <c r="C143" s="1594">
        <v>131</v>
      </c>
      <c r="D143" s="1665">
        <v>2719365.4824631587</v>
      </c>
    </row>
    <row r="144" spans="2:4" ht="16">
      <c r="B144" s="1632">
        <f t="shared" ca="1" si="2"/>
        <v>0.88196076139361246</v>
      </c>
      <c r="C144" s="1594">
        <v>132</v>
      </c>
      <c r="D144" s="1665">
        <v>2719365.4824631587</v>
      </c>
    </row>
    <row r="145" spans="2:4" ht="16">
      <c r="B145" s="1632">
        <f t="shared" ca="1" si="2"/>
        <v>1.0601988500384516</v>
      </c>
      <c r="C145" s="1594">
        <v>133</v>
      </c>
      <c r="D145" s="1665">
        <v>2719365.4824631587</v>
      </c>
    </row>
    <row r="146" spans="2:4" ht="16">
      <c r="B146" s="1632">
        <f t="shared" ca="1" si="2"/>
        <v>0.9673407671084685</v>
      </c>
      <c r="C146" s="1594">
        <v>134</v>
      </c>
      <c r="D146" s="1665">
        <v>2719365.4824631587</v>
      </c>
    </row>
    <row r="147" spans="2:4" ht="16">
      <c r="B147" s="1632">
        <f t="shared" ca="1" si="2"/>
        <v>0.90177994878607748</v>
      </c>
      <c r="C147" s="1594">
        <v>135</v>
      </c>
      <c r="D147" s="1665">
        <v>2719365.4824631587</v>
      </c>
    </row>
    <row r="148" spans="2:4" ht="16">
      <c r="B148" s="1632">
        <f t="shared" ca="1" si="2"/>
        <v>0.91337404134744871</v>
      </c>
      <c r="C148" s="1594">
        <v>136</v>
      </c>
      <c r="D148" s="1665">
        <v>2719365.4824631587</v>
      </c>
    </row>
    <row r="149" spans="2:4" ht="16">
      <c r="B149" s="1632">
        <f t="shared" ca="1" si="2"/>
        <v>0.76533202109502652</v>
      </c>
      <c r="C149" s="1594">
        <v>137</v>
      </c>
      <c r="D149" s="1665">
        <v>2719365.4824631587</v>
      </c>
    </row>
    <row r="150" spans="2:4" ht="16">
      <c r="B150" s="1632">
        <f t="shared" ca="1" si="2"/>
        <v>0.81826143757074676</v>
      </c>
      <c r="C150" s="1594">
        <v>138</v>
      </c>
      <c r="D150" s="1665">
        <v>2719365.4824631587</v>
      </c>
    </row>
    <row r="151" spans="2:4" ht="16">
      <c r="B151" s="1632">
        <f t="shared" ca="1" si="2"/>
        <v>0.9383854623593082</v>
      </c>
      <c r="C151" s="1594">
        <v>139</v>
      </c>
      <c r="D151" s="1665">
        <v>2719365.4824631587</v>
      </c>
    </row>
    <row r="152" spans="2:4" ht="16">
      <c r="B152" s="1632">
        <f t="shared" ca="1" si="2"/>
        <v>0.87816488675605264</v>
      </c>
      <c r="C152" s="1594">
        <v>140</v>
      </c>
      <c r="D152" s="1665">
        <v>2719365.4824631587</v>
      </c>
    </row>
    <row r="153" spans="2:4" ht="16">
      <c r="B153" s="1632">
        <f t="shared" ca="1" si="2"/>
        <v>0.87203784165658549</v>
      </c>
      <c r="C153" s="1594">
        <v>141</v>
      </c>
      <c r="D153" s="1665">
        <v>2719365.4824631587</v>
      </c>
    </row>
    <row r="154" spans="2:4" ht="16">
      <c r="B154" s="1632">
        <f t="shared" ca="1" si="2"/>
        <v>0.9730802618774862</v>
      </c>
      <c r="C154" s="1594">
        <v>142</v>
      </c>
      <c r="D154" s="1665">
        <v>2719365.4824631587</v>
      </c>
    </row>
    <row r="155" spans="2:4" ht="16">
      <c r="B155" s="1632">
        <f t="shared" ca="1" si="2"/>
        <v>1.1766517679840021</v>
      </c>
      <c r="C155" s="1594">
        <v>143</v>
      </c>
      <c r="D155" s="1665">
        <v>2719365.4824631587</v>
      </c>
    </row>
    <row r="156" spans="2:4" ht="16">
      <c r="B156" s="1632">
        <f t="shared" ca="1" si="2"/>
        <v>1.1818640196994847</v>
      </c>
      <c r="C156" s="1594">
        <v>144</v>
      </c>
      <c r="D156" s="1665">
        <v>2719365.4824631587</v>
      </c>
    </row>
    <row r="157" spans="2:4" ht="16">
      <c r="B157" s="1632">
        <f t="shared" ca="1" si="2"/>
        <v>1.1942231243588812</v>
      </c>
      <c r="C157" s="1594">
        <v>145</v>
      </c>
      <c r="D157" s="1665">
        <v>2719365.4824631587</v>
      </c>
    </row>
    <row r="158" spans="2:4" ht="16">
      <c r="B158" s="1632">
        <f t="shared" ca="1" si="2"/>
        <v>1.2118048379579047</v>
      </c>
      <c r="C158" s="1594">
        <v>146</v>
      </c>
      <c r="D158" s="1665">
        <v>2719365.4824631587</v>
      </c>
    </row>
    <row r="159" spans="2:4" ht="16">
      <c r="B159" s="1632">
        <f t="shared" ca="1" si="2"/>
        <v>0.89447955574259241</v>
      </c>
      <c r="C159" s="1594">
        <v>147</v>
      </c>
      <c r="D159" s="1665">
        <v>2719365.4824631587</v>
      </c>
    </row>
    <row r="160" spans="2:4" ht="16">
      <c r="B160" s="1632">
        <f t="shared" ca="1" si="2"/>
        <v>0.9922211673073944</v>
      </c>
      <c r="C160" s="1594">
        <v>148</v>
      </c>
      <c r="D160" s="1665">
        <v>2719365.4824631587</v>
      </c>
    </row>
    <row r="161" spans="2:4" ht="16">
      <c r="B161" s="1632">
        <f t="shared" ca="1" si="2"/>
        <v>1.0080035849259645</v>
      </c>
      <c r="C161" s="1594">
        <v>149</v>
      </c>
      <c r="D161" s="1665">
        <v>2719365.4824631587</v>
      </c>
    </row>
    <row r="162" spans="2:4" ht="16">
      <c r="B162" s="1632">
        <f t="shared" ca="1" si="2"/>
        <v>1.0017947233323194</v>
      </c>
      <c r="C162" s="1594">
        <v>150</v>
      </c>
      <c r="D162" s="1665">
        <v>2719365.4824631587</v>
      </c>
    </row>
    <row r="163" spans="2:4" ht="16">
      <c r="B163" s="1632">
        <f t="shared" ca="1" si="2"/>
        <v>0.9471665285781431</v>
      </c>
      <c r="C163" s="1594">
        <v>151</v>
      </c>
      <c r="D163" s="1665">
        <v>2719365.4824631587</v>
      </c>
    </row>
    <row r="164" spans="2:4" ht="16">
      <c r="B164" s="1632">
        <f t="shared" ca="1" si="2"/>
        <v>1.2022740729411441</v>
      </c>
      <c r="C164" s="1594">
        <v>152</v>
      </c>
      <c r="D164" s="1665">
        <v>2719365.4824631587</v>
      </c>
    </row>
    <row r="165" spans="2:4" ht="16">
      <c r="B165" s="1632">
        <f t="shared" ca="1" si="2"/>
        <v>0.99353843215261695</v>
      </c>
      <c r="C165" s="1594">
        <v>153</v>
      </c>
      <c r="D165" s="1665">
        <v>2719365.4824631587</v>
      </c>
    </row>
    <row r="166" spans="2:4" ht="16">
      <c r="B166" s="1632">
        <f t="shared" ca="1" si="2"/>
        <v>1.1365332946749496</v>
      </c>
      <c r="C166" s="1594">
        <v>154</v>
      </c>
      <c r="D166" s="1665">
        <v>2719365.4824631587</v>
      </c>
    </row>
    <row r="167" spans="2:4" ht="16">
      <c r="B167" s="1632">
        <f t="shared" ca="1" si="2"/>
        <v>0.90648211219252406</v>
      </c>
      <c r="C167" s="1594">
        <v>155</v>
      </c>
      <c r="D167" s="1665">
        <v>2719365.4824631587</v>
      </c>
    </row>
    <row r="168" spans="2:4" ht="16">
      <c r="B168" s="1632">
        <f t="shared" ca="1" si="2"/>
        <v>1.0990255827008699</v>
      </c>
      <c r="C168" s="1594">
        <v>156</v>
      </c>
      <c r="D168" s="1665">
        <v>2719365.4824631587</v>
      </c>
    </row>
    <row r="169" spans="2:4" ht="16">
      <c r="B169" s="1632">
        <f t="shared" ca="1" si="2"/>
        <v>1.0411029593893344</v>
      </c>
      <c r="C169" s="1594">
        <v>157</v>
      </c>
      <c r="D169" s="1665">
        <v>2719365.4824631587</v>
      </c>
    </row>
    <row r="170" spans="2:4" ht="16">
      <c r="B170" s="1632">
        <f t="shared" ca="1" si="2"/>
        <v>0.95977556532462838</v>
      </c>
      <c r="C170" s="1594">
        <v>158</v>
      </c>
      <c r="D170" s="1665">
        <v>2719365.4824631587</v>
      </c>
    </row>
    <row r="171" spans="2:4" ht="16">
      <c r="B171" s="1632">
        <f t="shared" ca="1" si="2"/>
        <v>0.93731021327096575</v>
      </c>
      <c r="C171" s="1594">
        <v>159</v>
      </c>
      <c r="D171" s="1665">
        <v>2719365.4824631587</v>
      </c>
    </row>
    <row r="172" spans="2:4" ht="16">
      <c r="B172" s="1632">
        <f t="shared" ca="1" si="2"/>
        <v>0.9658792593670521</v>
      </c>
      <c r="C172" s="1594">
        <v>160</v>
      </c>
      <c r="D172" s="1665">
        <v>2719365.4824631587</v>
      </c>
    </row>
    <row r="173" spans="2:4" ht="16">
      <c r="B173" s="1632">
        <f t="shared" ca="1" si="2"/>
        <v>0.80658723782659492</v>
      </c>
      <c r="C173" s="1594">
        <v>161</v>
      </c>
      <c r="D173" s="1665">
        <v>2719365.4824631587</v>
      </c>
    </row>
    <row r="174" spans="2:4" ht="16">
      <c r="B174" s="1632">
        <f t="shared" ca="1" si="2"/>
        <v>0.9908450595758006</v>
      </c>
      <c r="C174" s="1594">
        <v>162</v>
      </c>
      <c r="D174" s="1665">
        <v>2719365.4824631587</v>
      </c>
    </row>
    <row r="175" spans="2:4" ht="16">
      <c r="B175" s="1632">
        <f t="shared" ca="1" si="2"/>
        <v>0.95643087549446293</v>
      </c>
      <c r="C175" s="1594">
        <v>163</v>
      </c>
      <c r="D175" s="1665">
        <v>2719365.4824631587</v>
      </c>
    </row>
    <row r="176" spans="2:4" ht="16">
      <c r="B176" s="1632">
        <f t="shared" ca="1" si="2"/>
        <v>0.96905497923445449</v>
      </c>
      <c r="C176" s="1594">
        <v>164</v>
      </c>
      <c r="D176" s="1665">
        <v>2719365.4824631587</v>
      </c>
    </row>
    <row r="177" spans="2:4" ht="16">
      <c r="B177" s="1632">
        <f t="shared" ca="1" si="2"/>
        <v>0.94703180564440581</v>
      </c>
      <c r="C177" s="1594">
        <v>165</v>
      </c>
      <c r="D177" s="1665">
        <v>2719365.4824631587</v>
      </c>
    </row>
    <row r="178" spans="2:4" ht="16">
      <c r="B178" s="1632">
        <f t="shared" ca="1" si="2"/>
        <v>0.89513613099866984</v>
      </c>
      <c r="C178" s="1594">
        <v>166</v>
      </c>
      <c r="D178" s="1665">
        <v>2719365.4824631587</v>
      </c>
    </row>
    <row r="179" spans="2:4" ht="16">
      <c r="B179" s="1632">
        <f t="shared" ca="1" si="2"/>
        <v>1.0249442592578393</v>
      </c>
      <c r="C179" s="1594">
        <v>167</v>
      </c>
      <c r="D179" s="1665">
        <v>2719365.4824631587</v>
      </c>
    </row>
    <row r="180" spans="2:4" ht="16">
      <c r="B180" s="1632">
        <f t="shared" ca="1" si="2"/>
        <v>0.83328032847108702</v>
      </c>
      <c r="C180" s="1594">
        <v>168</v>
      </c>
      <c r="D180" s="1665">
        <v>2719365.4824631587</v>
      </c>
    </row>
    <row r="181" spans="2:4" ht="16">
      <c r="B181" s="1632">
        <f t="shared" ca="1" si="2"/>
        <v>0.99788142475838471</v>
      </c>
      <c r="C181" s="1594">
        <v>169</v>
      </c>
      <c r="D181" s="1665">
        <v>2719365.4824631587</v>
      </c>
    </row>
    <row r="182" spans="2:4" ht="16">
      <c r="B182" s="1632">
        <f t="shared" ca="1" si="2"/>
        <v>0.88363628597767152</v>
      </c>
      <c r="C182" s="1594">
        <v>170</v>
      </c>
      <c r="D182" s="1665">
        <v>2719365.4824631587</v>
      </c>
    </row>
    <row r="183" spans="2:4" ht="16">
      <c r="B183" s="1632">
        <f t="shared" ca="1" si="2"/>
        <v>1.0227580806115604</v>
      </c>
      <c r="C183" s="1594">
        <v>171</v>
      </c>
      <c r="D183" s="1665">
        <v>2719365.4824631587</v>
      </c>
    </row>
    <row r="184" spans="2:4" ht="16">
      <c r="B184" s="1632">
        <f t="shared" ca="1" si="2"/>
        <v>0.87003029697204703</v>
      </c>
      <c r="C184" s="1594">
        <v>172</v>
      </c>
      <c r="D184" s="1665">
        <v>2719365.4824631587</v>
      </c>
    </row>
    <row r="185" spans="2:4" ht="16">
      <c r="B185" s="1632">
        <f t="shared" ca="1" si="2"/>
        <v>1.1525745524585702</v>
      </c>
      <c r="C185" s="1594">
        <v>173</v>
      </c>
      <c r="D185" s="1665">
        <v>2719365.4824631587</v>
      </c>
    </row>
    <row r="186" spans="2:4" ht="16">
      <c r="B186" s="1632">
        <f t="shared" ca="1" si="2"/>
        <v>1.0396502956843505</v>
      </c>
      <c r="C186" s="1594">
        <v>174</v>
      </c>
      <c r="D186" s="1665">
        <v>2719365.4824631587</v>
      </c>
    </row>
    <row r="187" spans="2:4" ht="16">
      <c r="B187" s="1632">
        <f t="shared" ca="1" si="2"/>
        <v>0.93890321346825656</v>
      </c>
      <c r="C187" s="1594">
        <v>175</v>
      </c>
      <c r="D187" s="1665">
        <v>2719365.4824631587</v>
      </c>
    </row>
    <row r="188" spans="2:4" ht="16">
      <c r="B188" s="1632">
        <f t="shared" ca="1" si="2"/>
        <v>0.62103021056088981</v>
      </c>
      <c r="C188" s="1594">
        <v>176</v>
      </c>
      <c r="D188" s="1665">
        <v>2719365.4824631587</v>
      </c>
    </row>
    <row r="189" spans="2:4" ht="16">
      <c r="B189" s="1632">
        <f t="shared" ca="1" si="2"/>
        <v>0.8608564137563478</v>
      </c>
      <c r="C189" s="1594">
        <v>177</v>
      </c>
      <c r="D189" s="1665">
        <v>2719365.4824631587</v>
      </c>
    </row>
    <row r="190" spans="2:4" ht="16">
      <c r="B190" s="1632">
        <f t="shared" ca="1" si="2"/>
        <v>1.0683489839715867</v>
      </c>
      <c r="C190" s="1594">
        <v>178</v>
      </c>
      <c r="D190" s="1665">
        <v>2719365.4824631587</v>
      </c>
    </row>
    <row r="191" spans="2:4" ht="16">
      <c r="B191" s="1632">
        <f t="shared" ca="1" si="2"/>
        <v>1.1838367915314836</v>
      </c>
      <c r="C191" s="1594">
        <v>179</v>
      </c>
      <c r="D191" s="1665">
        <v>2719365.4824631587</v>
      </c>
    </row>
    <row r="192" spans="2:4" ht="16">
      <c r="B192" s="1632">
        <f t="shared" ca="1" si="2"/>
        <v>0.66073918235731954</v>
      </c>
      <c r="C192" s="1594">
        <v>180</v>
      </c>
      <c r="D192" s="1665">
        <v>2719365.4824631587</v>
      </c>
    </row>
    <row r="193" spans="2:4" ht="16">
      <c r="B193" s="1632">
        <f t="shared" ca="1" si="2"/>
        <v>0.96245193414019048</v>
      </c>
      <c r="C193" s="1594">
        <v>181</v>
      </c>
      <c r="D193" s="1665">
        <v>2719365.4824631587</v>
      </c>
    </row>
    <row r="194" spans="2:4" ht="16">
      <c r="B194" s="1632">
        <f t="shared" ca="1" si="2"/>
        <v>1.00800090939498</v>
      </c>
      <c r="C194" s="1594">
        <v>182</v>
      </c>
      <c r="D194" s="1665">
        <v>2719365.4824631587</v>
      </c>
    </row>
    <row r="195" spans="2:4" ht="16">
      <c r="B195" s="1632">
        <f t="shared" ca="1" si="2"/>
        <v>1.084681067512095</v>
      </c>
      <c r="C195" s="1594">
        <v>183</v>
      </c>
      <c r="D195" s="1665">
        <v>2719365.4824631587</v>
      </c>
    </row>
    <row r="196" spans="2:4" ht="16">
      <c r="B196" s="1632">
        <f t="shared" ca="1" si="2"/>
        <v>0.87961721454673403</v>
      </c>
      <c r="C196" s="1594">
        <v>184</v>
      </c>
      <c r="D196" s="1665">
        <v>2719365.4824631587</v>
      </c>
    </row>
    <row r="197" spans="2:4" ht="16">
      <c r="B197" s="1632">
        <f t="shared" ca="1" si="2"/>
        <v>0.90188256831509306</v>
      </c>
      <c r="C197" s="1594">
        <v>185</v>
      </c>
      <c r="D197" s="1665">
        <v>2719365.4824631587</v>
      </c>
    </row>
    <row r="198" spans="2:4" ht="16">
      <c r="B198" s="1632">
        <f t="shared" ca="1" si="2"/>
        <v>1.0007128432833099</v>
      </c>
      <c r="C198" s="1594">
        <v>186</v>
      </c>
      <c r="D198" s="1665">
        <v>2719365.4824631587</v>
      </c>
    </row>
    <row r="199" spans="2:4" ht="16">
      <c r="B199" s="1632">
        <f t="shared" ca="1" si="2"/>
        <v>0.68767801808278328</v>
      </c>
      <c r="C199" s="1594">
        <v>187</v>
      </c>
      <c r="D199" s="1665">
        <v>2719365.4824631587</v>
      </c>
    </row>
    <row r="200" spans="2:4" ht="16">
      <c r="B200" s="1632">
        <f t="shared" ca="1" si="2"/>
        <v>0.91420304009625364</v>
      </c>
      <c r="C200" s="1594">
        <v>188</v>
      </c>
      <c r="D200" s="1665">
        <v>2719365.4824631587</v>
      </c>
    </row>
    <row r="201" spans="2:4" ht="16">
      <c r="B201" s="1632">
        <f t="shared" ca="1" si="2"/>
        <v>1.3010786684033397</v>
      </c>
      <c r="C201" s="1594">
        <v>189</v>
      </c>
      <c r="D201" s="1665">
        <v>2719365.4824631587</v>
      </c>
    </row>
    <row r="202" spans="2:4" ht="16">
      <c r="B202" s="1632">
        <f t="shared" ca="1" si="2"/>
        <v>1.0237754586512884</v>
      </c>
      <c r="C202" s="1594">
        <v>190</v>
      </c>
      <c r="D202" s="1665">
        <v>2719365.4824631587</v>
      </c>
    </row>
    <row r="203" spans="2:4" ht="16">
      <c r="B203" s="1632">
        <f t="shared" ca="1" si="2"/>
        <v>1.0019976674773288</v>
      </c>
      <c r="C203" s="1594">
        <v>191</v>
      </c>
      <c r="D203" s="1665">
        <v>2719365.4824631587</v>
      </c>
    </row>
    <row r="204" spans="2:4" ht="16">
      <c r="B204" s="1632">
        <f t="shared" ca="1" si="2"/>
        <v>0.97398141803506122</v>
      </c>
      <c r="C204" s="1594">
        <v>192</v>
      </c>
      <c r="D204" s="1665">
        <v>2719365.4824631587</v>
      </c>
    </row>
    <row r="205" spans="2:4" ht="16">
      <c r="B205" s="1632">
        <f t="shared" ref="B205:B268" ca="1" si="3">MAX(NORMINV(RAND(),$B$4,$B$5),0)</f>
        <v>1.0278431502330434</v>
      </c>
      <c r="C205" s="1594">
        <v>193</v>
      </c>
      <c r="D205" s="1665">
        <v>2719365.4824631587</v>
      </c>
    </row>
    <row r="206" spans="2:4" ht="16">
      <c r="B206" s="1632">
        <f t="shared" ca="1" si="3"/>
        <v>1.0536033975977015</v>
      </c>
      <c r="C206" s="1594">
        <v>194</v>
      </c>
      <c r="D206" s="1665">
        <v>2719365.4824631587</v>
      </c>
    </row>
    <row r="207" spans="2:4" ht="16">
      <c r="B207" s="1632">
        <f t="shared" ca="1" si="3"/>
        <v>1.010529345264956</v>
      </c>
      <c r="C207" s="1594">
        <v>195</v>
      </c>
      <c r="D207" s="1665">
        <v>2719365.4824631587</v>
      </c>
    </row>
    <row r="208" spans="2:4" ht="16">
      <c r="B208" s="1632">
        <f t="shared" ca="1" si="3"/>
        <v>0.95925249578553284</v>
      </c>
      <c r="C208" s="1594">
        <v>196</v>
      </c>
      <c r="D208" s="1665">
        <v>2719365.4824631587</v>
      </c>
    </row>
    <row r="209" spans="2:4" ht="16">
      <c r="B209" s="1632">
        <f t="shared" ca="1" si="3"/>
        <v>1.1534549536665646</v>
      </c>
      <c r="C209" s="1594">
        <v>197</v>
      </c>
      <c r="D209" s="1665">
        <v>2719365.4824631587</v>
      </c>
    </row>
    <row r="210" spans="2:4" ht="16">
      <c r="B210" s="1632">
        <f t="shared" ca="1" si="3"/>
        <v>1.2293558467398635</v>
      </c>
      <c r="C210" s="1594">
        <v>198</v>
      </c>
      <c r="D210" s="1665">
        <v>2719365.4824631587</v>
      </c>
    </row>
    <row r="211" spans="2:4" ht="16">
      <c r="B211" s="1632">
        <f t="shared" ca="1" si="3"/>
        <v>0.97186730944257804</v>
      </c>
      <c r="C211" s="1594">
        <v>199</v>
      </c>
      <c r="D211" s="1665">
        <v>2719365.4824631587</v>
      </c>
    </row>
    <row r="212" spans="2:4" ht="16">
      <c r="B212" s="1632">
        <f t="shared" ca="1" si="3"/>
        <v>0.80288172826105197</v>
      </c>
      <c r="C212" s="1594">
        <v>200</v>
      </c>
      <c r="D212" s="1665">
        <v>2719365.4824631587</v>
      </c>
    </row>
    <row r="213" spans="2:4" ht="16">
      <c r="B213" s="1632">
        <f t="shared" ca="1" si="3"/>
        <v>0.9203171621482148</v>
      </c>
      <c r="C213" s="1594">
        <v>201</v>
      </c>
      <c r="D213" s="1665">
        <v>2719365.4824631587</v>
      </c>
    </row>
    <row r="214" spans="2:4" ht="16">
      <c r="B214" s="1632">
        <f t="shared" ca="1" si="3"/>
        <v>1.0346208723009169</v>
      </c>
      <c r="C214" s="1594">
        <v>202</v>
      </c>
      <c r="D214" s="1665">
        <v>2719365.4824631587</v>
      </c>
    </row>
    <row r="215" spans="2:4" ht="16">
      <c r="B215" s="1632">
        <f t="shared" ca="1" si="3"/>
        <v>1.114006911529154</v>
      </c>
      <c r="C215" s="1594">
        <v>203</v>
      </c>
      <c r="D215" s="1665">
        <v>2719365.4824631587</v>
      </c>
    </row>
    <row r="216" spans="2:4" ht="16">
      <c r="B216" s="1632">
        <f t="shared" ca="1" si="3"/>
        <v>0.97328632511221513</v>
      </c>
      <c r="C216" s="1594">
        <v>204</v>
      </c>
      <c r="D216" s="1665">
        <v>2719365.4824631587</v>
      </c>
    </row>
    <row r="217" spans="2:4" ht="16">
      <c r="B217" s="1632">
        <f t="shared" ca="1" si="3"/>
        <v>1.0703626912270192</v>
      </c>
      <c r="C217" s="1594">
        <v>205</v>
      </c>
      <c r="D217" s="1665">
        <v>2719365.4824631587</v>
      </c>
    </row>
    <row r="218" spans="2:4" ht="16">
      <c r="B218" s="1632">
        <f t="shared" ca="1" si="3"/>
        <v>1.0537770128089656</v>
      </c>
      <c r="C218" s="1594">
        <v>206</v>
      </c>
      <c r="D218" s="1665">
        <v>2719365.4824631587</v>
      </c>
    </row>
    <row r="219" spans="2:4" ht="16">
      <c r="B219" s="1632">
        <f t="shared" ca="1" si="3"/>
        <v>0.87703263231076667</v>
      </c>
      <c r="C219" s="1594">
        <v>207</v>
      </c>
      <c r="D219" s="1665">
        <v>2719365.4824631587</v>
      </c>
    </row>
    <row r="220" spans="2:4" ht="16">
      <c r="B220" s="1632">
        <f t="shared" ca="1" si="3"/>
        <v>1.1641844891499469</v>
      </c>
      <c r="C220" s="1594">
        <v>208</v>
      </c>
      <c r="D220" s="1665">
        <v>2719365.4824631587</v>
      </c>
    </row>
    <row r="221" spans="2:4" ht="16">
      <c r="B221" s="1632">
        <f t="shared" ca="1" si="3"/>
        <v>0.93419180068104679</v>
      </c>
      <c r="C221" s="1594">
        <v>209</v>
      </c>
      <c r="D221" s="1665">
        <v>2719365.4824631587</v>
      </c>
    </row>
    <row r="222" spans="2:4" ht="16">
      <c r="B222" s="1632">
        <f t="shared" ca="1" si="3"/>
        <v>0.98966391668882969</v>
      </c>
      <c r="C222" s="1594">
        <v>210</v>
      </c>
      <c r="D222" s="1665">
        <v>2719365.4824631587</v>
      </c>
    </row>
    <row r="223" spans="2:4" ht="16">
      <c r="B223" s="1632">
        <f t="shared" ca="1" si="3"/>
        <v>1.2202353124685095</v>
      </c>
      <c r="C223" s="1594">
        <v>211</v>
      </c>
      <c r="D223" s="1665">
        <v>2719365.4824631587</v>
      </c>
    </row>
    <row r="224" spans="2:4" ht="16">
      <c r="B224" s="1632">
        <f t="shared" ca="1" si="3"/>
        <v>1.2282723377412135</v>
      </c>
      <c r="C224" s="1594">
        <v>212</v>
      </c>
      <c r="D224" s="1665">
        <v>2719365.4824631587</v>
      </c>
    </row>
    <row r="225" spans="2:4" ht="16">
      <c r="B225" s="1632">
        <f t="shared" ca="1" si="3"/>
        <v>0.95972329320675853</v>
      </c>
      <c r="C225" s="1594">
        <v>213</v>
      </c>
      <c r="D225" s="1665">
        <v>2719365.4824631587</v>
      </c>
    </row>
    <row r="226" spans="2:4" ht="16">
      <c r="B226" s="1632">
        <f t="shared" ca="1" si="3"/>
        <v>0.73104382076204266</v>
      </c>
      <c r="C226" s="1594">
        <v>214</v>
      </c>
      <c r="D226" s="1665">
        <v>2719365.4824631587</v>
      </c>
    </row>
    <row r="227" spans="2:4" ht="16">
      <c r="B227" s="1632">
        <f t="shared" ca="1" si="3"/>
        <v>0.94325490879186447</v>
      </c>
      <c r="C227" s="1594">
        <v>215</v>
      </c>
      <c r="D227" s="1665">
        <v>2719365.4824631587</v>
      </c>
    </row>
    <row r="228" spans="2:4" ht="16">
      <c r="B228" s="1632">
        <f t="shared" ca="1" si="3"/>
        <v>0.96982061562470101</v>
      </c>
      <c r="C228" s="1594">
        <v>216</v>
      </c>
      <c r="D228" s="1665">
        <v>2719365.4824631587</v>
      </c>
    </row>
    <row r="229" spans="2:4" ht="16">
      <c r="B229" s="1632">
        <f t="shared" ca="1" si="3"/>
        <v>1.0813454033333942</v>
      </c>
      <c r="C229" s="1594">
        <v>217</v>
      </c>
      <c r="D229" s="1665">
        <v>2719365.4824631587</v>
      </c>
    </row>
    <row r="230" spans="2:4" ht="16">
      <c r="B230" s="1632">
        <f t="shared" ca="1" si="3"/>
        <v>1.0820877881519659</v>
      </c>
      <c r="C230" s="1594">
        <v>218</v>
      </c>
      <c r="D230" s="1665">
        <v>2719365.4824631587</v>
      </c>
    </row>
    <row r="231" spans="2:4" ht="16">
      <c r="B231" s="1632">
        <f t="shared" ca="1" si="3"/>
        <v>0.80986330086343594</v>
      </c>
      <c r="C231" s="1594">
        <v>219</v>
      </c>
      <c r="D231" s="1665">
        <v>2719365.4824631587</v>
      </c>
    </row>
    <row r="232" spans="2:4" ht="16">
      <c r="B232" s="1632">
        <f t="shared" ca="1" si="3"/>
        <v>0.98809968656855718</v>
      </c>
      <c r="C232" s="1594">
        <v>220</v>
      </c>
      <c r="D232" s="1665">
        <v>2719365.4824631587</v>
      </c>
    </row>
    <row r="233" spans="2:4" ht="16">
      <c r="B233" s="1632">
        <f t="shared" ca="1" si="3"/>
        <v>0.93197124450664393</v>
      </c>
      <c r="C233" s="1594">
        <v>221</v>
      </c>
      <c r="D233" s="1665">
        <v>2719365.4824631587</v>
      </c>
    </row>
    <row r="234" spans="2:4" ht="16">
      <c r="B234" s="1632">
        <f t="shared" ca="1" si="3"/>
        <v>0.85806097352419453</v>
      </c>
      <c r="C234" s="1594">
        <v>222</v>
      </c>
      <c r="D234" s="1665">
        <v>2719365.4824631587</v>
      </c>
    </row>
    <row r="235" spans="2:4" ht="16">
      <c r="B235" s="1632">
        <f t="shared" ca="1" si="3"/>
        <v>1.315151630185718</v>
      </c>
      <c r="C235" s="1594">
        <v>223</v>
      </c>
      <c r="D235" s="1665">
        <v>2719365.4824631587</v>
      </c>
    </row>
    <row r="236" spans="2:4" ht="16">
      <c r="B236" s="1632">
        <f t="shared" ca="1" si="3"/>
        <v>0.95566547006925662</v>
      </c>
      <c r="C236" s="1594">
        <v>224</v>
      </c>
      <c r="D236" s="1665">
        <v>2719365.4824631587</v>
      </c>
    </row>
    <row r="237" spans="2:4" ht="16">
      <c r="B237" s="1632">
        <f t="shared" ca="1" si="3"/>
        <v>0.96893509588674098</v>
      </c>
      <c r="C237" s="1594">
        <v>225</v>
      </c>
      <c r="D237" s="1665">
        <v>2719365.4824631587</v>
      </c>
    </row>
    <row r="238" spans="2:4" ht="16">
      <c r="B238" s="1632">
        <f t="shared" ca="1" si="3"/>
        <v>0.86924565337325055</v>
      </c>
      <c r="C238" s="1594">
        <v>226</v>
      </c>
      <c r="D238" s="1665">
        <v>2719365.4824631587</v>
      </c>
    </row>
    <row r="239" spans="2:4" ht="16">
      <c r="B239" s="1632">
        <f t="shared" ca="1" si="3"/>
        <v>0.91446904721563937</v>
      </c>
      <c r="C239" s="1594">
        <v>227</v>
      </c>
      <c r="D239" s="1665">
        <v>2719365.4824631587</v>
      </c>
    </row>
    <row r="240" spans="2:4" ht="16">
      <c r="B240" s="1632">
        <f t="shared" ca="1" si="3"/>
        <v>1.1339625880728885</v>
      </c>
      <c r="C240" s="1594">
        <v>228</v>
      </c>
      <c r="D240" s="1665">
        <v>2719365.4824631587</v>
      </c>
    </row>
    <row r="241" spans="2:4" ht="16">
      <c r="B241" s="1632">
        <f t="shared" ca="1" si="3"/>
        <v>1.0755138480611344</v>
      </c>
      <c r="C241" s="1594">
        <v>229</v>
      </c>
      <c r="D241" s="1665">
        <v>2719365.4824631587</v>
      </c>
    </row>
    <row r="242" spans="2:4" ht="16">
      <c r="B242" s="1632">
        <f t="shared" ca="1" si="3"/>
        <v>0.95621372516904757</v>
      </c>
      <c r="C242" s="1594">
        <v>230</v>
      </c>
      <c r="D242" s="1665">
        <v>2719365.4824631587</v>
      </c>
    </row>
    <row r="243" spans="2:4" ht="16">
      <c r="B243" s="1632">
        <f t="shared" ca="1" si="3"/>
        <v>0.8361321569780098</v>
      </c>
      <c r="C243" s="1594">
        <v>231</v>
      </c>
      <c r="D243" s="1665">
        <v>2719365.4824631587</v>
      </c>
    </row>
    <row r="244" spans="2:4" ht="16">
      <c r="B244" s="1632">
        <f t="shared" ca="1" si="3"/>
        <v>1.2107696263629761</v>
      </c>
      <c r="C244" s="1594">
        <v>232</v>
      </c>
      <c r="D244" s="1665">
        <v>2719365.4824631587</v>
      </c>
    </row>
    <row r="245" spans="2:4" ht="16">
      <c r="B245" s="1632">
        <f t="shared" ca="1" si="3"/>
        <v>1.0948815875474147</v>
      </c>
      <c r="C245" s="1594">
        <v>233</v>
      </c>
      <c r="D245" s="1665">
        <v>2719365.4824631587</v>
      </c>
    </row>
    <row r="246" spans="2:4" ht="16">
      <c r="B246" s="1632">
        <f t="shared" ca="1" si="3"/>
        <v>1.1892392495162369</v>
      </c>
      <c r="C246" s="1594">
        <v>234</v>
      </c>
      <c r="D246" s="1665">
        <v>2719365.4824631587</v>
      </c>
    </row>
    <row r="247" spans="2:4" ht="16">
      <c r="B247" s="1632">
        <f t="shared" ca="1" si="3"/>
        <v>1.0529893962977011</v>
      </c>
      <c r="C247" s="1594">
        <v>235</v>
      </c>
      <c r="D247" s="1665">
        <v>2719365.4824631587</v>
      </c>
    </row>
    <row r="248" spans="2:4" ht="16">
      <c r="B248" s="1632">
        <f t="shared" ca="1" si="3"/>
        <v>0.86172254106470625</v>
      </c>
      <c r="C248" s="1594">
        <v>236</v>
      </c>
      <c r="D248" s="1665">
        <v>2719365.4824631587</v>
      </c>
    </row>
    <row r="249" spans="2:4" ht="16">
      <c r="B249" s="1632">
        <f t="shared" ca="1" si="3"/>
        <v>0.91672196631258751</v>
      </c>
      <c r="C249" s="1594">
        <v>237</v>
      </c>
      <c r="D249" s="1665">
        <v>2719365.4824631587</v>
      </c>
    </row>
    <row r="250" spans="2:4" ht="16">
      <c r="B250" s="1632">
        <f t="shared" ca="1" si="3"/>
        <v>1.1440035298835536</v>
      </c>
      <c r="C250" s="1594">
        <v>238</v>
      </c>
      <c r="D250" s="1665">
        <v>2719365.4824631587</v>
      </c>
    </row>
    <row r="251" spans="2:4" ht="16">
      <c r="B251" s="1632">
        <f t="shared" ca="1" si="3"/>
        <v>1.1257444920058342</v>
      </c>
      <c r="C251" s="1594">
        <v>239</v>
      </c>
      <c r="D251" s="1665">
        <v>2719365.4824631587</v>
      </c>
    </row>
    <row r="252" spans="2:4" ht="16">
      <c r="B252" s="1632">
        <f t="shared" ca="1" si="3"/>
        <v>0.89639009389075996</v>
      </c>
      <c r="C252" s="1594">
        <v>240</v>
      </c>
      <c r="D252" s="1665">
        <v>2719365.4824631587</v>
      </c>
    </row>
    <row r="253" spans="2:4" ht="16">
      <c r="B253" s="1632">
        <f t="shared" ca="1" si="3"/>
        <v>1.1326900362037944</v>
      </c>
      <c r="C253" s="1594">
        <v>241</v>
      </c>
      <c r="D253" s="1665">
        <v>2719365.4824631587</v>
      </c>
    </row>
    <row r="254" spans="2:4" ht="16">
      <c r="B254" s="1632">
        <f t="shared" ca="1" si="3"/>
        <v>1.0780280464977035</v>
      </c>
      <c r="C254" s="1594">
        <v>242</v>
      </c>
      <c r="D254" s="1665">
        <v>2719365.4824631587</v>
      </c>
    </row>
    <row r="255" spans="2:4" ht="16">
      <c r="B255" s="1632">
        <f t="shared" ca="1" si="3"/>
        <v>0.99121798087196122</v>
      </c>
      <c r="C255" s="1594">
        <v>243</v>
      </c>
      <c r="D255" s="1665">
        <v>2719365.4824631587</v>
      </c>
    </row>
    <row r="256" spans="2:4" ht="16">
      <c r="B256" s="1632">
        <f t="shared" ca="1" si="3"/>
        <v>0.87915279091415466</v>
      </c>
      <c r="C256" s="1594">
        <v>244</v>
      </c>
      <c r="D256" s="1665">
        <v>2719365.4824631587</v>
      </c>
    </row>
    <row r="257" spans="2:4" ht="16">
      <c r="B257" s="1632">
        <f t="shared" ca="1" si="3"/>
        <v>1.1820674478157822</v>
      </c>
      <c r="C257" s="1594">
        <v>245</v>
      </c>
      <c r="D257" s="1665">
        <v>2719365.4824631587</v>
      </c>
    </row>
    <row r="258" spans="2:4" ht="16">
      <c r="B258" s="1632">
        <f t="shared" ca="1" si="3"/>
        <v>1.1081342371472307</v>
      </c>
      <c r="C258" s="1594">
        <v>246</v>
      </c>
      <c r="D258" s="1665">
        <v>2719365.4824631587</v>
      </c>
    </row>
    <row r="259" spans="2:4" ht="16">
      <c r="B259" s="1632">
        <f t="shared" ca="1" si="3"/>
        <v>0.96349239709866241</v>
      </c>
      <c r="C259" s="1594">
        <v>247</v>
      </c>
      <c r="D259" s="1665">
        <v>2719365.4824631587</v>
      </c>
    </row>
    <row r="260" spans="2:4" ht="16">
      <c r="B260" s="1632">
        <f t="shared" ca="1" si="3"/>
        <v>0.944536335476998</v>
      </c>
      <c r="C260" s="1594">
        <v>248</v>
      </c>
      <c r="D260" s="1665">
        <v>2719365.4824631587</v>
      </c>
    </row>
    <row r="261" spans="2:4" ht="16">
      <c r="B261" s="1632">
        <f t="shared" ca="1" si="3"/>
        <v>0.88001250926001162</v>
      </c>
      <c r="C261" s="1594">
        <v>249</v>
      </c>
      <c r="D261" s="1665">
        <v>2719365.4824631587</v>
      </c>
    </row>
    <row r="262" spans="2:4" ht="16">
      <c r="B262" s="1632">
        <f t="shared" ca="1" si="3"/>
        <v>1.0600541575308535</v>
      </c>
      <c r="C262" s="1594">
        <v>250</v>
      </c>
      <c r="D262" s="1665">
        <v>2719365.4824631587</v>
      </c>
    </row>
    <row r="263" spans="2:4" ht="16">
      <c r="B263" s="1632">
        <f t="shared" ca="1" si="3"/>
        <v>1.2476426161741636</v>
      </c>
      <c r="C263" s="1594">
        <v>251</v>
      </c>
      <c r="D263" s="1665">
        <v>2719365.4824631587</v>
      </c>
    </row>
    <row r="264" spans="2:4" ht="16">
      <c r="B264" s="1632">
        <f t="shared" ca="1" si="3"/>
        <v>0.73868323987200535</v>
      </c>
      <c r="C264" s="1594">
        <v>252</v>
      </c>
      <c r="D264" s="1665">
        <v>2719365.4824631587</v>
      </c>
    </row>
    <row r="265" spans="2:4" ht="16">
      <c r="B265" s="1632">
        <f t="shared" ca="1" si="3"/>
        <v>1.0838350848887601</v>
      </c>
      <c r="C265" s="1594">
        <v>253</v>
      </c>
      <c r="D265" s="1665">
        <v>2719365.4824631587</v>
      </c>
    </row>
    <row r="266" spans="2:4" ht="16">
      <c r="B266" s="1632">
        <f t="shared" ca="1" si="3"/>
        <v>0.88622863786357986</v>
      </c>
      <c r="C266" s="1594">
        <v>254</v>
      </c>
      <c r="D266" s="1665">
        <v>2719365.4824631587</v>
      </c>
    </row>
    <row r="267" spans="2:4" ht="16">
      <c r="B267" s="1632">
        <f t="shared" ca="1" si="3"/>
        <v>1.0416096863774775</v>
      </c>
      <c r="C267" s="1594">
        <v>255</v>
      </c>
      <c r="D267" s="1665">
        <v>2719365.4824631587</v>
      </c>
    </row>
    <row r="268" spans="2:4" ht="16">
      <c r="B268" s="1632">
        <f t="shared" ca="1" si="3"/>
        <v>0.9053759288722727</v>
      </c>
      <c r="C268" s="1594">
        <v>256</v>
      </c>
      <c r="D268" s="1665">
        <v>2719365.4824631587</v>
      </c>
    </row>
    <row r="269" spans="2:4" ht="16">
      <c r="B269" s="1632">
        <f t="shared" ref="B269:B332" ca="1" si="4">MAX(NORMINV(RAND(),$B$4,$B$5),0)</f>
        <v>1.1061285826460878</v>
      </c>
      <c r="C269" s="1594">
        <v>257</v>
      </c>
      <c r="D269" s="1665">
        <v>2719365.4824631587</v>
      </c>
    </row>
    <row r="270" spans="2:4" ht="16">
      <c r="B270" s="1632">
        <f t="shared" ca="1" si="4"/>
        <v>1.2106382600873102</v>
      </c>
      <c r="C270" s="1594">
        <v>258</v>
      </c>
      <c r="D270" s="1665">
        <v>2719365.4824631587</v>
      </c>
    </row>
    <row r="271" spans="2:4" ht="16">
      <c r="B271" s="1632">
        <f t="shared" ca="1" si="4"/>
        <v>1.0030709695037128</v>
      </c>
      <c r="C271" s="1594">
        <v>259</v>
      </c>
      <c r="D271" s="1665">
        <v>2719365.4824631587</v>
      </c>
    </row>
    <row r="272" spans="2:4" ht="16">
      <c r="B272" s="1632">
        <f t="shared" ca="1" si="4"/>
        <v>1.2637545689915974</v>
      </c>
      <c r="C272" s="1594">
        <v>260</v>
      </c>
      <c r="D272" s="1665">
        <v>2719365.4824631587</v>
      </c>
    </row>
    <row r="273" spans="2:4" ht="16">
      <c r="B273" s="1632">
        <f t="shared" ca="1" si="4"/>
        <v>0.96551166418105361</v>
      </c>
      <c r="C273" s="1594">
        <v>261</v>
      </c>
      <c r="D273" s="1665">
        <v>2719365.4824631587</v>
      </c>
    </row>
    <row r="274" spans="2:4" ht="16">
      <c r="B274" s="1632">
        <f t="shared" ca="1" si="4"/>
        <v>1.0556478285667747</v>
      </c>
      <c r="C274" s="1594">
        <v>262</v>
      </c>
      <c r="D274" s="1665">
        <v>2719365.4824631587</v>
      </c>
    </row>
    <row r="275" spans="2:4" ht="16">
      <c r="B275" s="1632">
        <f t="shared" ca="1" si="4"/>
        <v>1.2506751722738709</v>
      </c>
      <c r="C275" s="1594">
        <v>263</v>
      </c>
      <c r="D275" s="1665">
        <v>2719365.4824631587</v>
      </c>
    </row>
    <row r="276" spans="2:4" ht="16">
      <c r="B276" s="1632">
        <f t="shared" ca="1" si="4"/>
        <v>0.81663441226735312</v>
      </c>
      <c r="C276" s="1594">
        <v>264</v>
      </c>
      <c r="D276" s="1665">
        <v>2719365.4824631587</v>
      </c>
    </row>
    <row r="277" spans="2:4" ht="16">
      <c r="B277" s="1632">
        <f t="shared" ca="1" si="4"/>
        <v>0.8397630087465644</v>
      </c>
      <c r="C277" s="1594">
        <v>265</v>
      </c>
      <c r="D277" s="1665">
        <v>2719365.4824631587</v>
      </c>
    </row>
    <row r="278" spans="2:4" ht="16">
      <c r="B278" s="1632">
        <f t="shared" ca="1" si="4"/>
        <v>1.1254588421456795</v>
      </c>
      <c r="C278" s="1594">
        <v>266</v>
      </c>
      <c r="D278" s="1665">
        <v>2719365.4824631587</v>
      </c>
    </row>
    <row r="279" spans="2:4" ht="16">
      <c r="B279" s="1632">
        <f t="shared" ca="1" si="4"/>
        <v>0.98514090546837429</v>
      </c>
      <c r="C279" s="1594">
        <v>267</v>
      </c>
      <c r="D279" s="1665">
        <v>2719365.4824631587</v>
      </c>
    </row>
    <row r="280" spans="2:4" ht="16">
      <c r="B280" s="1632">
        <f t="shared" ca="1" si="4"/>
        <v>0.98943612431094574</v>
      </c>
      <c r="C280" s="1594">
        <v>268</v>
      </c>
      <c r="D280" s="1665">
        <v>2719365.4824631587</v>
      </c>
    </row>
    <row r="281" spans="2:4" ht="16">
      <c r="B281" s="1632">
        <f t="shared" ca="1" si="4"/>
        <v>1.0743992769186124</v>
      </c>
      <c r="C281" s="1594">
        <v>269</v>
      </c>
      <c r="D281" s="1665">
        <v>2719365.4824631587</v>
      </c>
    </row>
    <row r="282" spans="2:4" ht="16">
      <c r="B282" s="1632">
        <f t="shared" ca="1" si="4"/>
        <v>0.93099628764301523</v>
      </c>
      <c r="C282" s="1594">
        <v>270</v>
      </c>
      <c r="D282" s="1665">
        <v>2719365.4824631587</v>
      </c>
    </row>
    <row r="283" spans="2:4" ht="16">
      <c r="B283" s="1632">
        <f t="shared" ca="1" si="4"/>
        <v>0.97248498156961682</v>
      </c>
      <c r="C283" s="1594">
        <v>271</v>
      </c>
      <c r="D283" s="1665">
        <v>2719365.4824631587</v>
      </c>
    </row>
    <row r="284" spans="2:4" ht="16">
      <c r="B284" s="1632">
        <f t="shared" ca="1" si="4"/>
        <v>1.1593501405615114</v>
      </c>
      <c r="C284" s="1594">
        <v>272</v>
      </c>
      <c r="D284" s="1665">
        <v>2719365.4824631587</v>
      </c>
    </row>
    <row r="285" spans="2:4" ht="16">
      <c r="B285" s="1632">
        <f t="shared" ca="1" si="4"/>
        <v>0.82227415830823802</v>
      </c>
      <c r="C285" s="1594">
        <v>273</v>
      </c>
      <c r="D285" s="1665">
        <v>2719365.4824631587</v>
      </c>
    </row>
    <row r="286" spans="2:4" ht="16">
      <c r="B286" s="1632">
        <f t="shared" ca="1" si="4"/>
        <v>0.84522213584123707</v>
      </c>
      <c r="C286" s="1594">
        <v>274</v>
      </c>
      <c r="D286" s="1665">
        <v>2719365.4824631587</v>
      </c>
    </row>
    <row r="287" spans="2:4" ht="16">
      <c r="B287" s="1632">
        <f t="shared" ca="1" si="4"/>
        <v>0.8978910105900525</v>
      </c>
      <c r="C287" s="1594">
        <v>275</v>
      </c>
      <c r="D287" s="1665">
        <v>2719365.4824631587</v>
      </c>
    </row>
    <row r="288" spans="2:4" ht="16">
      <c r="B288" s="1632">
        <f t="shared" ca="1" si="4"/>
        <v>1.0739736818758849</v>
      </c>
      <c r="C288" s="1594">
        <v>276</v>
      </c>
      <c r="D288" s="1665">
        <v>2719365.4824631587</v>
      </c>
    </row>
    <row r="289" spans="2:4" ht="16">
      <c r="B289" s="1632">
        <f t="shared" ca="1" si="4"/>
        <v>0.94447363981511467</v>
      </c>
      <c r="C289" s="1594">
        <v>277</v>
      </c>
      <c r="D289" s="1665">
        <v>2719365.4824631587</v>
      </c>
    </row>
    <row r="290" spans="2:4" ht="16">
      <c r="B290" s="1632">
        <f t="shared" ca="1" si="4"/>
        <v>1.0293038391431142</v>
      </c>
      <c r="C290" s="1594">
        <v>278</v>
      </c>
      <c r="D290" s="1665">
        <v>2719365.4824631587</v>
      </c>
    </row>
    <row r="291" spans="2:4" ht="16">
      <c r="B291" s="1632">
        <f t="shared" ca="1" si="4"/>
        <v>0.95338061623352199</v>
      </c>
      <c r="C291" s="1594">
        <v>279</v>
      </c>
      <c r="D291" s="1665">
        <v>2719365.4824631587</v>
      </c>
    </row>
    <row r="292" spans="2:4" ht="16">
      <c r="B292" s="1632">
        <f t="shared" ca="1" si="4"/>
        <v>1.0692856595984424</v>
      </c>
      <c r="C292" s="1594">
        <v>280</v>
      </c>
      <c r="D292" s="1665">
        <v>2719365.4824631587</v>
      </c>
    </row>
    <row r="293" spans="2:4" ht="16">
      <c r="B293" s="1632">
        <f t="shared" ca="1" si="4"/>
        <v>1.0276081107320538</v>
      </c>
      <c r="C293" s="1594">
        <v>281</v>
      </c>
      <c r="D293" s="1665">
        <v>2719365.4824631587</v>
      </c>
    </row>
    <row r="294" spans="2:4" ht="16">
      <c r="B294" s="1632">
        <f t="shared" ca="1" si="4"/>
        <v>0.87175277540229712</v>
      </c>
      <c r="C294" s="1594">
        <v>282</v>
      </c>
      <c r="D294" s="1665">
        <v>2719365.4824631587</v>
      </c>
    </row>
    <row r="295" spans="2:4" ht="16">
      <c r="B295" s="1632">
        <f t="shared" ca="1" si="4"/>
        <v>1.1020002960351263</v>
      </c>
      <c r="C295" s="1594">
        <v>283</v>
      </c>
      <c r="D295" s="1665">
        <v>2719365.4824631587</v>
      </c>
    </row>
    <row r="296" spans="2:4" ht="16">
      <c r="B296" s="1632">
        <f t="shared" ca="1" si="4"/>
        <v>0.99257407077386195</v>
      </c>
      <c r="C296" s="1594">
        <v>284</v>
      </c>
      <c r="D296" s="1665">
        <v>2719365.4824631587</v>
      </c>
    </row>
    <row r="297" spans="2:4" ht="16">
      <c r="B297" s="1632">
        <f t="shared" ca="1" si="4"/>
        <v>0.96251335426668139</v>
      </c>
      <c r="C297" s="1594">
        <v>285</v>
      </c>
      <c r="D297" s="1665">
        <v>2719365.4824631587</v>
      </c>
    </row>
    <row r="298" spans="2:4" ht="16">
      <c r="B298" s="1632">
        <f t="shared" ca="1" si="4"/>
        <v>1.1733997408522807</v>
      </c>
      <c r="C298" s="1594">
        <v>286</v>
      </c>
      <c r="D298" s="1665">
        <v>2719365.4824631587</v>
      </c>
    </row>
    <row r="299" spans="2:4" ht="16">
      <c r="B299" s="1632">
        <f t="shared" ca="1" si="4"/>
        <v>0.7133078413694296</v>
      </c>
      <c r="C299" s="1594">
        <v>287</v>
      </c>
      <c r="D299" s="1665">
        <v>2719365.4824631587</v>
      </c>
    </row>
    <row r="300" spans="2:4" ht="16">
      <c r="B300" s="1632">
        <f t="shared" ca="1" si="4"/>
        <v>1.0816723147395222</v>
      </c>
      <c r="C300" s="1594">
        <v>288</v>
      </c>
      <c r="D300" s="1665">
        <v>2719365.4824631587</v>
      </c>
    </row>
    <row r="301" spans="2:4" ht="16">
      <c r="B301" s="1632">
        <f t="shared" ca="1" si="4"/>
        <v>1.126928000971293</v>
      </c>
      <c r="C301" s="1594">
        <v>289</v>
      </c>
      <c r="D301" s="1665">
        <v>2719365.4824631587</v>
      </c>
    </row>
    <row r="302" spans="2:4" ht="16">
      <c r="B302" s="1632">
        <f t="shared" ca="1" si="4"/>
        <v>1.0480407055269514</v>
      </c>
      <c r="C302" s="1594">
        <v>290</v>
      </c>
      <c r="D302" s="1665">
        <v>2719365.4824631587</v>
      </c>
    </row>
    <row r="303" spans="2:4" ht="16">
      <c r="B303" s="1632">
        <f t="shared" ca="1" si="4"/>
        <v>0.77588058200205623</v>
      </c>
      <c r="C303" s="1594">
        <v>291</v>
      </c>
      <c r="D303" s="1665">
        <v>2719365.4824631587</v>
      </c>
    </row>
    <row r="304" spans="2:4" ht="16">
      <c r="B304" s="1632">
        <f t="shared" ca="1" si="4"/>
        <v>1.1141978472204885</v>
      </c>
      <c r="C304" s="1594">
        <v>292</v>
      </c>
      <c r="D304" s="1665">
        <v>2719365.4824631587</v>
      </c>
    </row>
    <row r="305" spans="2:4" ht="16">
      <c r="B305" s="1632">
        <f t="shared" ca="1" si="4"/>
        <v>0.96038894239009187</v>
      </c>
      <c r="C305" s="1594">
        <v>293</v>
      </c>
      <c r="D305" s="1665">
        <v>2719365.4824631587</v>
      </c>
    </row>
    <row r="306" spans="2:4" ht="16">
      <c r="B306" s="1632">
        <f t="shared" ca="1" si="4"/>
        <v>1.133674765371443</v>
      </c>
      <c r="C306" s="1594">
        <v>294</v>
      </c>
      <c r="D306" s="1665">
        <v>2719365.4824631587</v>
      </c>
    </row>
    <row r="307" spans="2:4" ht="16">
      <c r="B307" s="1632">
        <f t="shared" ca="1" si="4"/>
        <v>0.87203276545302477</v>
      </c>
      <c r="C307" s="1594">
        <v>295</v>
      </c>
      <c r="D307" s="1665">
        <v>2719365.4824631587</v>
      </c>
    </row>
    <row r="308" spans="2:4" ht="16">
      <c r="B308" s="1632">
        <f t="shared" ca="1" si="4"/>
        <v>1.0977354288243946</v>
      </c>
      <c r="C308" s="1594">
        <v>296</v>
      </c>
      <c r="D308" s="1665">
        <v>2719365.4824631587</v>
      </c>
    </row>
    <row r="309" spans="2:4" ht="16">
      <c r="B309" s="1632">
        <f t="shared" ca="1" si="4"/>
        <v>1.1784089261278461</v>
      </c>
      <c r="C309" s="1594">
        <v>297</v>
      </c>
      <c r="D309" s="1665">
        <v>2719365.4824631587</v>
      </c>
    </row>
    <row r="310" spans="2:4" ht="16">
      <c r="B310" s="1632">
        <f t="shared" ca="1" si="4"/>
        <v>0.95280012616147924</v>
      </c>
      <c r="C310" s="1594">
        <v>298</v>
      </c>
      <c r="D310" s="1665">
        <v>2719365.4824631587</v>
      </c>
    </row>
    <row r="311" spans="2:4" ht="16">
      <c r="B311" s="1632">
        <f t="shared" ca="1" si="4"/>
        <v>1.1139701973175575</v>
      </c>
      <c r="C311" s="1594">
        <v>299</v>
      </c>
      <c r="D311" s="1665">
        <v>2719365.4824631587</v>
      </c>
    </row>
    <row r="312" spans="2:4" ht="16">
      <c r="B312" s="1632">
        <f t="shared" ca="1" si="4"/>
        <v>1.1132461413789039</v>
      </c>
      <c r="C312" s="1594">
        <v>300</v>
      </c>
      <c r="D312" s="1665">
        <v>2719365.4824631587</v>
      </c>
    </row>
    <row r="313" spans="2:4" ht="16">
      <c r="B313" s="1632">
        <f t="shared" ca="1" si="4"/>
        <v>0.98514627112852027</v>
      </c>
      <c r="C313" s="1594">
        <v>301</v>
      </c>
      <c r="D313" s="1665">
        <v>2719365.4824631587</v>
      </c>
    </row>
    <row r="314" spans="2:4" ht="16">
      <c r="B314" s="1632">
        <f t="shared" ca="1" si="4"/>
        <v>0.7247320994442612</v>
      </c>
      <c r="C314" s="1594">
        <v>302</v>
      </c>
      <c r="D314" s="1665">
        <v>2719365.4824631587</v>
      </c>
    </row>
    <row r="315" spans="2:4" ht="16">
      <c r="B315" s="1632">
        <f t="shared" ca="1" si="4"/>
        <v>1.1854515308705875</v>
      </c>
      <c r="C315" s="1594">
        <v>303</v>
      </c>
      <c r="D315" s="1665">
        <v>2719365.4824631587</v>
      </c>
    </row>
    <row r="316" spans="2:4" ht="16">
      <c r="B316" s="1632">
        <f t="shared" ca="1" si="4"/>
        <v>1.2147634370994966</v>
      </c>
      <c r="C316" s="1594">
        <v>304</v>
      </c>
      <c r="D316" s="1665">
        <v>2719365.4824631587</v>
      </c>
    </row>
    <row r="317" spans="2:4" ht="16">
      <c r="B317" s="1632">
        <f t="shared" ca="1" si="4"/>
        <v>1.1489270579675916</v>
      </c>
      <c r="C317" s="1594">
        <v>305</v>
      </c>
      <c r="D317" s="1665">
        <v>2719365.4824631587</v>
      </c>
    </row>
    <row r="318" spans="2:4" ht="16">
      <c r="B318" s="1632">
        <f t="shared" ca="1" si="4"/>
        <v>1.1191704174382517</v>
      </c>
      <c r="C318" s="1594">
        <v>306</v>
      </c>
      <c r="D318" s="1665">
        <v>2719365.4824631587</v>
      </c>
    </row>
    <row r="319" spans="2:4" ht="16">
      <c r="B319" s="1632">
        <f t="shared" ca="1" si="4"/>
        <v>0.90490907470933479</v>
      </c>
      <c r="C319" s="1594">
        <v>307</v>
      </c>
      <c r="D319" s="1665">
        <v>2719365.4824631587</v>
      </c>
    </row>
    <row r="320" spans="2:4" ht="16">
      <c r="B320" s="1632">
        <f t="shared" ca="1" si="4"/>
        <v>1.1758781474973254</v>
      </c>
      <c r="C320" s="1594">
        <v>308</v>
      </c>
      <c r="D320" s="1665">
        <v>2719365.4824631587</v>
      </c>
    </row>
    <row r="321" spans="2:4" ht="16">
      <c r="B321" s="1632">
        <f t="shared" ca="1" si="4"/>
        <v>1.0834615688640279</v>
      </c>
      <c r="C321" s="1594">
        <v>309</v>
      </c>
      <c r="D321" s="1665">
        <v>2719365.4824631587</v>
      </c>
    </row>
    <row r="322" spans="2:4" ht="16">
      <c r="B322" s="1632">
        <f t="shared" ca="1" si="4"/>
        <v>0.78678029531031379</v>
      </c>
      <c r="C322" s="1594">
        <v>310</v>
      </c>
      <c r="D322" s="1665">
        <v>2719365.4824631587</v>
      </c>
    </row>
    <row r="323" spans="2:4" ht="16">
      <c r="B323" s="1632">
        <f t="shared" ca="1" si="4"/>
        <v>1.0166988277799964</v>
      </c>
      <c r="C323" s="1594">
        <v>311</v>
      </c>
      <c r="D323" s="1665">
        <v>2719365.4824631587</v>
      </c>
    </row>
    <row r="324" spans="2:4" ht="16">
      <c r="B324" s="1632">
        <f t="shared" ca="1" si="4"/>
        <v>1.1650902126484854</v>
      </c>
      <c r="C324" s="1594">
        <v>312</v>
      </c>
      <c r="D324" s="1665">
        <v>2719365.4824631587</v>
      </c>
    </row>
    <row r="325" spans="2:4" ht="16">
      <c r="B325" s="1632">
        <f t="shared" ca="1" si="4"/>
        <v>1.1022668635847965</v>
      </c>
      <c r="C325" s="1594">
        <v>313</v>
      </c>
      <c r="D325" s="1665">
        <v>2719365.4824631587</v>
      </c>
    </row>
    <row r="326" spans="2:4" ht="16">
      <c r="B326" s="1632">
        <f t="shared" ca="1" si="4"/>
        <v>1.2296414510498312</v>
      </c>
      <c r="C326" s="1594">
        <v>314</v>
      </c>
      <c r="D326" s="1665">
        <v>2719365.4824631587</v>
      </c>
    </row>
    <row r="327" spans="2:4" ht="16">
      <c r="B327" s="1632">
        <f t="shared" ca="1" si="4"/>
        <v>1.0383349119219858</v>
      </c>
      <c r="C327" s="1594">
        <v>315</v>
      </c>
      <c r="D327" s="1665">
        <v>2719365.4824631587</v>
      </c>
    </row>
    <row r="328" spans="2:4" ht="16">
      <c r="B328" s="1632">
        <f t="shared" ca="1" si="4"/>
        <v>0.81524308629031761</v>
      </c>
      <c r="C328" s="1594">
        <v>316</v>
      </c>
      <c r="D328" s="1665">
        <v>2719365.4824631587</v>
      </c>
    </row>
    <row r="329" spans="2:4" ht="16">
      <c r="B329" s="1632">
        <f t="shared" ca="1" si="4"/>
        <v>0.86320092237503898</v>
      </c>
      <c r="C329" s="1594">
        <v>317</v>
      </c>
      <c r="D329" s="1665">
        <v>2719365.4824631587</v>
      </c>
    </row>
    <row r="330" spans="2:4" ht="16">
      <c r="B330" s="1632">
        <f t="shared" ca="1" si="4"/>
        <v>1.0496443233390651</v>
      </c>
      <c r="C330" s="1594">
        <v>318</v>
      </c>
      <c r="D330" s="1665">
        <v>2719365.4824631587</v>
      </c>
    </row>
    <row r="331" spans="2:4" ht="16">
      <c r="B331" s="1632">
        <f t="shared" ca="1" si="4"/>
        <v>0.9230451110301866</v>
      </c>
      <c r="C331" s="1594">
        <v>319</v>
      </c>
      <c r="D331" s="1665">
        <v>2719365.4824631587</v>
      </c>
    </row>
    <row r="332" spans="2:4" ht="16">
      <c r="B332" s="1632">
        <f t="shared" ca="1" si="4"/>
        <v>1.1696038727828042</v>
      </c>
      <c r="C332" s="1594">
        <v>320</v>
      </c>
      <c r="D332" s="1665">
        <v>2719365.4824631587</v>
      </c>
    </row>
    <row r="333" spans="2:4" ht="16">
      <c r="B333" s="1632">
        <f t="shared" ref="B333:B396" ca="1" si="5">MAX(NORMINV(RAND(),$B$4,$B$5),0)</f>
        <v>0.83087196687211873</v>
      </c>
      <c r="C333" s="1594">
        <v>321</v>
      </c>
      <c r="D333" s="1665">
        <v>2719365.4824631587</v>
      </c>
    </row>
    <row r="334" spans="2:4" ht="16">
      <c r="B334" s="1632">
        <f t="shared" ca="1" si="5"/>
        <v>0.64735276913354101</v>
      </c>
      <c r="C334" s="1594">
        <v>322</v>
      </c>
      <c r="D334" s="1665">
        <v>2719365.4824631587</v>
      </c>
    </row>
    <row r="335" spans="2:4" ht="16">
      <c r="B335" s="1632">
        <f t="shared" ca="1" si="5"/>
        <v>0.9726583906412466</v>
      </c>
      <c r="C335" s="1594">
        <v>323</v>
      </c>
      <c r="D335" s="1665">
        <v>2719365.4824631587</v>
      </c>
    </row>
    <row r="336" spans="2:4" ht="16">
      <c r="B336" s="1632">
        <f t="shared" ca="1" si="5"/>
        <v>0.90668069122883366</v>
      </c>
      <c r="C336" s="1594">
        <v>324</v>
      </c>
      <c r="D336" s="1665">
        <v>2719365.4824631587</v>
      </c>
    </row>
    <row r="337" spans="2:4" ht="16">
      <c r="B337" s="1632">
        <f t="shared" ca="1" si="5"/>
        <v>0.92676369622486676</v>
      </c>
      <c r="C337" s="1594">
        <v>325</v>
      </c>
      <c r="D337" s="1665">
        <v>2719365.4824631587</v>
      </c>
    </row>
    <row r="338" spans="2:4" ht="16">
      <c r="B338" s="1632">
        <f t="shared" ca="1" si="5"/>
        <v>0.79970225658888494</v>
      </c>
      <c r="C338" s="1594">
        <v>326</v>
      </c>
      <c r="D338" s="1665">
        <v>2719365.4824631587</v>
      </c>
    </row>
    <row r="339" spans="2:4" ht="16">
      <c r="B339" s="1632">
        <f t="shared" ca="1" si="5"/>
        <v>1.2213366353955539</v>
      </c>
      <c r="C339" s="1594">
        <v>327</v>
      </c>
      <c r="D339" s="1665">
        <v>2719365.4824631587</v>
      </c>
    </row>
    <row r="340" spans="2:4" ht="16">
      <c r="B340" s="1632">
        <f t="shared" ca="1" si="5"/>
        <v>1.0681091544199228</v>
      </c>
      <c r="C340" s="1594">
        <v>328</v>
      </c>
      <c r="D340" s="1665">
        <v>2719365.4824631587</v>
      </c>
    </row>
    <row r="341" spans="2:4" ht="16">
      <c r="B341" s="1632">
        <f t="shared" ca="1" si="5"/>
        <v>1.0855748565468188</v>
      </c>
      <c r="C341" s="1594">
        <v>329</v>
      </c>
      <c r="D341" s="1665">
        <v>2719365.4824631587</v>
      </c>
    </row>
    <row r="342" spans="2:4" ht="16">
      <c r="B342" s="1632">
        <f t="shared" ca="1" si="5"/>
        <v>0.81085412375886956</v>
      </c>
      <c r="C342" s="1594">
        <v>330</v>
      </c>
      <c r="D342" s="1665">
        <v>2719365.4824631587</v>
      </c>
    </row>
    <row r="343" spans="2:4" ht="16">
      <c r="B343" s="1632">
        <f t="shared" ca="1" si="5"/>
        <v>1.1595118815699788</v>
      </c>
      <c r="C343" s="1594">
        <v>331</v>
      </c>
      <c r="D343" s="1665">
        <v>2719365.4824631587</v>
      </c>
    </row>
    <row r="344" spans="2:4" ht="16">
      <c r="B344" s="1632">
        <f t="shared" ca="1" si="5"/>
        <v>0.94113310075049184</v>
      </c>
      <c r="C344" s="1594">
        <v>332</v>
      </c>
      <c r="D344" s="1665">
        <v>2719365.4824631587</v>
      </c>
    </row>
    <row r="345" spans="2:4" ht="16">
      <c r="B345" s="1632">
        <f t="shared" ca="1" si="5"/>
        <v>1.0292097808676841</v>
      </c>
      <c r="C345" s="1594">
        <v>333</v>
      </c>
      <c r="D345" s="1665">
        <v>2719365.4824631587</v>
      </c>
    </row>
    <row r="346" spans="2:4" ht="16">
      <c r="B346" s="1632">
        <f t="shared" ca="1" si="5"/>
        <v>1.1212173510648873</v>
      </c>
      <c r="C346" s="1594">
        <v>334</v>
      </c>
      <c r="D346" s="1665">
        <v>2719365.4824631587</v>
      </c>
    </row>
    <row r="347" spans="2:4" ht="16">
      <c r="B347" s="1632">
        <f t="shared" ca="1" si="5"/>
        <v>1.1305036257123424</v>
      </c>
      <c r="C347" s="1594">
        <v>335</v>
      </c>
      <c r="D347" s="1665">
        <v>2719365.4824631587</v>
      </c>
    </row>
    <row r="348" spans="2:4" ht="16">
      <c r="B348" s="1632">
        <f t="shared" ca="1" si="5"/>
        <v>0.85783544429198355</v>
      </c>
      <c r="C348" s="1594">
        <v>336</v>
      </c>
      <c r="D348" s="1665">
        <v>2719365.4824631587</v>
      </c>
    </row>
    <row r="349" spans="2:4" ht="16">
      <c r="B349" s="1632">
        <f t="shared" ca="1" si="5"/>
        <v>1.2486899268323071</v>
      </c>
      <c r="C349" s="1594">
        <v>337</v>
      </c>
      <c r="D349" s="1665">
        <v>2719365.4824631587</v>
      </c>
    </row>
    <row r="350" spans="2:4" ht="16">
      <c r="B350" s="1632">
        <f t="shared" ca="1" si="5"/>
        <v>1.0747558948454297</v>
      </c>
      <c r="C350" s="1594">
        <v>338</v>
      </c>
      <c r="D350" s="1665">
        <v>2719365.4824631587</v>
      </c>
    </row>
    <row r="351" spans="2:4" ht="16">
      <c r="B351" s="1632">
        <f t="shared" ca="1" si="5"/>
        <v>0.91137634145581059</v>
      </c>
      <c r="C351" s="1594">
        <v>339</v>
      </c>
      <c r="D351" s="1665">
        <v>2719365.4824631587</v>
      </c>
    </row>
    <row r="352" spans="2:4" ht="16">
      <c r="B352" s="1632">
        <f t="shared" ca="1" si="5"/>
        <v>0.75476176769089576</v>
      </c>
      <c r="C352" s="1594">
        <v>340</v>
      </c>
      <c r="D352" s="1665">
        <v>2719365.4824631587</v>
      </c>
    </row>
    <row r="353" spans="2:4" ht="16">
      <c r="B353" s="1632">
        <f t="shared" ca="1" si="5"/>
        <v>1.0827959848712705</v>
      </c>
      <c r="C353" s="1594">
        <v>341</v>
      </c>
      <c r="D353" s="1665">
        <v>2719365.4824631587</v>
      </c>
    </row>
    <row r="354" spans="2:4" ht="16">
      <c r="B354" s="1632">
        <f t="shared" ca="1" si="5"/>
        <v>1.0423834700913579</v>
      </c>
      <c r="C354" s="1594">
        <v>342</v>
      </c>
      <c r="D354" s="1665">
        <v>2719365.4824631587</v>
      </c>
    </row>
    <row r="355" spans="2:4" ht="16">
      <c r="B355" s="1632">
        <f t="shared" ca="1" si="5"/>
        <v>0.91804759812337478</v>
      </c>
      <c r="C355" s="1594">
        <v>343</v>
      </c>
      <c r="D355" s="1665">
        <v>2719365.4824631587</v>
      </c>
    </row>
    <row r="356" spans="2:4" ht="16">
      <c r="B356" s="1632">
        <f t="shared" ca="1" si="5"/>
        <v>1.0495957755204661</v>
      </c>
      <c r="C356" s="1594">
        <v>344</v>
      </c>
      <c r="D356" s="1665">
        <v>2719365.4824631587</v>
      </c>
    </row>
    <row r="357" spans="2:4" ht="16">
      <c r="B357" s="1632">
        <f t="shared" ca="1" si="5"/>
        <v>0.90653908524622406</v>
      </c>
      <c r="C357" s="1594">
        <v>345</v>
      </c>
      <c r="D357" s="1665">
        <v>2719365.4824631587</v>
      </c>
    </row>
    <row r="358" spans="2:4" ht="16">
      <c r="B358" s="1632">
        <f t="shared" ca="1" si="5"/>
        <v>0.85738700810249879</v>
      </c>
      <c r="C358" s="1594">
        <v>346</v>
      </c>
      <c r="D358" s="1665">
        <v>2719365.4824631587</v>
      </c>
    </row>
    <row r="359" spans="2:4" ht="16">
      <c r="B359" s="1632">
        <f t="shared" ca="1" si="5"/>
        <v>0.96902124162773384</v>
      </c>
      <c r="C359" s="1594">
        <v>347</v>
      </c>
      <c r="D359" s="1665">
        <v>2719365.4824631587</v>
      </c>
    </row>
    <row r="360" spans="2:4" ht="16">
      <c r="B360" s="1632">
        <f t="shared" ca="1" si="5"/>
        <v>0.99969541358195557</v>
      </c>
      <c r="C360" s="1594">
        <v>348</v>
      </c>
      <c r="D360" s="1665">
        <v>2719365.4824631587</v>
      </c>
    </row>
    <row r="361" spans="2:4" ht="16">
      <c r="B361" s="1632">
        <f t="shared" ca="1" si="5"/>
        <v>1.052606620797284</v>
      </c>
      <c r="C361" s="1594">
        <v>349</v>
      </c>
      <c r="D361" s="1665">
        <v>2719365.4824631587</v>
      </c>
    </row>
    <row r="362" spans="2:4" ht="16">
      <c r="B362" s="1632">
        <f t="shared" ca="1" si="5"/>
        <v>1.2243888301133039</v>
      </c>
      <c r="C362" s="1594">
        <v>350</v>
      </c>
      <c r="D362" s="1665">
        <v>2719365.4824631587</v>
      </c>
    </row>
    <row r="363" spans="2:4" ht="16">
      <c r="B363" s="1632">
        <f t="shared" ca="1" si="5"/>
        <v>1.098409764961745</v>
      </c>
      <c r="C363" s="1594">
        <v>351</v>
      </c>
      <c r="D363" s="1665">
        <v>2719365.4824631587</v>
      </c>
    </row>
    <row r="364" spans="2:4" ht="16">
      <c r="B364" s="1632">
        <f t="shared" ca="1" si="5"/>
        <v>1.0619005125035776</v>
      </c>
      <c r="C364" s="1594">
        <v>352</v>
      </c>
      <c r="D364" s="1665">
        <v>2719365.4824631587</v>
      </c>
    </row>
    <row r="365" spans="2:4" ht="16">
      <c r="B365" s="1632">
        <f t="shared" ca="1" si="5"/>
        <v>1.1713101598469571</v>
      </c>
      <c r="C365" s="1594">
        <v>353</v>
      </c>
      <c r="D365" s="1665">
        <v>2719365.4824631587</v>
      </c>
    </row>
    <row r="366" spans="2:4" ht="16">
      <c r="B366" s="1632">
        <f t="shared" ca="1" si="5"/>
        <v>0.90632959499905386</v>
      </c>
      <c r="C366" s="1594">
        <v>354</v>
      </c>
      <c r="D366" s="1665">
        <v>2719365.4824631587</v>
      </c>
    </row>
    <row r="367" spans="2:4" ht="16">
      <c r="B367" s="1632">
        <f t="shared" ca="1" si="5"/>
        <v>1.1661168808051632</v>
      </c>
      <c r="C367" s="1594">
        <v>355</v>
      </c>
      <c r="D367" s="1665">
        <v>2719365.4824631587</v>
      </c>
    </row>
    <row r="368" spans="2:4" ht="16">
      <c r="B368" s="1632">
        <f t="shared" ca="1" si="5"/>
        <v>0.80533559502074581</v>
      </c>
      <c r="C368" s="1594">
        <v>356</v>
      </c>
      <c r="D368" s="1665">
        <v>2719365.4824631587</v>
      </c>
    </row>
    <row r="369" spans="2:4" ht="16">
      <c r="B369" s="1632">
        <f t="shared" ca="1" si="5"/>
        <v>1.0833875524695125</v>
      </c>
      <c r="C369" s="1594">
        <v>357</v>
      </c>
      <c r="D369" s="1665">
        <v>2719365.4824631587</v>
      </c>
    </row>
    <row r="370" spans="2:4" ht="16">
      <c r="B370" s="1632">
        <f t="shared" ca="1" si="5"/>
        <v>1.0947845201109365</v>
      </c>
      <c r="C370" s="1594">
        <v>358</v>
      </c>
      <c r="D370" s="1665">
        <v>2719365.4824631587</v>
      </c>
    </row>
    <row r="371" spans="2:4" ht="16">
      <c r="B371" s="1632">
        <f t="shared" ca="1" si="5"/>
        <v>0.91515881119950793</v>
      </c>
      <c r="C371" s="1594">
        <v>359</v>
      </c>
      <c r="D371" s="1665">
        <v>2719365.4824631587</v>
      </c>
    </row>
    <row r="372" spans="2:4" ht="16">
      <c r="B372" s="1632">
        <f t="shared" ca="1" si="5"/>
        <v>0.99855825910373741</v>
      </c>
      <c r="C372" s="1594">
        <v>360</v>
      </c>
      <c r="D372" s="1665">
        <v>2719365.4824631587</v>
      </c>
    </row>
    <row r="373" spans="2:4" ht="16">
      <c r="B373" s="1632">
        <f t="shared" ca="1" si="5"/>
        <v>1.2587356829999237</v>
      </c>
      <c r="C373" s="1594">
        <v>361</v>
      </c>
      <c r="D373" s="1665">
        <v>2719365.4824631587</v>
      </c>
    </row>
    <row r="374" spans="2:4" ht="16">
      <c r="B374" s="1632">
        <f t="shared" ca="1" si="5"/>
        <v>0.72638245222798337</v>
      </c>
      <c r="C374" s="1594">
        <v>362</v>
      </c>
      <c r="D374" s="1665">
        <v>2719365.4824631587</v>
      </c>
    </row>
    <row r="375" spans="2:4" ht="16">
      <c r="B375" s="1632">
        <f t="shared" ca="1" si="5"/>
        <v>0.71534138799618385</v>
      </c>
      <c r="C375" s="1594">
        <v>363</v>
      </c>
      <c r="D375" s="1665">
        <v>2719365.4824631587</v>
      </c>
    </row>
    <row r="376" spans="2:4" ht="16">
      <c r="B376" s="1632">
        <f t="shared" ca="1" si="5"/>
        <v>1.3142496038662517</v>
      </c>
      <c r="C376" s="1594">
        <v>364</v>
      </c>
      <c r="D376" s="1665">
        <v>2719365.4824631587</v>
      </c>
    </row>
    <row r="377" spans="2:4" ht="16">
      <c r="B377" s="1632">
        <f t="shared" ca="1" si="5"/>
        <v>1.0444980060526632</v>
      </c>
      <c r="C377" s="1594">
        <v>365</v>
      </c>
      <c r="D377" s="1665">
        <v>2719365.4824631587</v>
      </c>
    </row>
    <row r="378" spans="2:4" ht="16">
      <c r="B378" s="1632">
        <f t="shared" ca="1" si="5"/>
        <v>0.93544799784203825</v>
      </c>
      <c r="C378" s="1594">
        <v>366</v>
      </c>
      <c r="D378" s="1665">
        <v>2719365.4824631587</v>
      </c>
    </row>
    <row r="379" spans="2:4" ht="16">
      <c r="B379" s="1632">
        <f t="shared" ca="1" si="5"/>
        <v>0.95385642577362018</v>
      </c>
      <c r="C379" s="1594">
        <v>367</v>
      </c>
      <c r="D379" s="1665">
        <v>2719365.4824631587</v>
      </c>
    </row>
    <row r="380" spans="2:4" ht="16">
      <c r="B380" s="1632">
        <f t="shared" ca="1" si="5"/>
        <v>0.89393836034204199</v>
      </c>
      <c r="C380" s="1594">
        <v>368</v>
      </c>
      <c r="D380" s="1665">
        <v>2719365.4824631587</v>
      </c>
    </row>
    <row r="381" spans="2:4" ht="16">
      <c r="B381" s="1632">
        <f t="shared" ca="1" si="5"/>
        <v>1.1230397795514602</v>
      </c>
      <c r="C381" s="1594">
        <v>369</v>
      </c>
      <c r="D381" s="1665">
        <v>2719365.4824631587</v>
      </c>
    </row>
    <row r="382" spans="2:4" ht="16">
      <c r="B382" s="1632">
        <f t="shared" ca="1" si="5"/>
        <v>1.2079719596394007</v>
      </c>
      <c r="C382" s="1594">
        <v>370</v>
      </c>
      <c r="D382" s="1665">
        <v>2719365.4824631587</v>
      </c>
    </row>
    <row r="383" spans="2:4" ht="16">
      <c r="B383" s="1632">
        <f t="shared" ca="1" si="5"/>
        <v>1.1130879327208458</v>
      </c>
      <c r="C383" s="1594">
        <v>371</v>
      </c>
      <c r="D383" s="1665">
        <v>2719365.4824631587</v>
      </c>
    </row>
    <row r="384" spans="2:4" ht="16">
      <c r="B384" s="1632">
        <f t="shared" ca="1" si="5"/>
        <v>1.0392432991690808</v>
      </c>
      <c r="C384" s="1594">
        <v>372</v>
      </c>
      <c r="D384" s="1665">
        <v>2719365.4824631587</v>
      </c>
    </row>
    <row r="385" spans="2:4" ht="16">
      <c r="B385" s="1632">
        <f t="shared" ca="1" si="5"/>
        <v>0.81668118511890264</v>
      </c>
      <c r="C385" s="1594">
        <v>373</v>
      </c>
      <c r="D385" s="1665">
        <v>2719365.4824631587</v>
      </c>
    </row>
    <row r="386" spans="2:4" ht="16">
      <c r="B386" s="1632">
        <f t="shared" ca="1" si="5"/>
        <v>0.99392486420667903</v>
      </c>
      <c r="C386" s="1594">
        <v>374</v>
      </c>
      <c r="D386" s="1665">
        <v>2719365.4824631587</v>
      </c>
    </row>
    <row r="387" spans="2:4" ht="16">
      <c r="B387" s="1632">
        <f t="shared" ca="1" si="5"/>
        <v>1.0812848687254175</v>
      </c>
      <c r="C387" s="1594">
        <v>375</v>
      </c>
      <c r="D387" s="1665">
        <v>2719365.4824631587</v>
      </c>
    </row>
    <row r="388" spans="2:4" ht="16">
      <c r="B388" s="1632">
        <f t="shared" ca="1" si="5"/>
        <v>0.96598172526253212</v>
      </c>
      <c r="C388" s="1594">
        <v>376</v>
      </c>
      <c r="D388" s="1665">
        <v>2719365.4824631587</v>
      </c>
    </row>
    <row r="389" spans="2:4" ht="16">
      <c r="B389" s="1632">
        <f t="shared" ca="1" si="5"/>
        <v>1.0208131142017842</v>
      </c>
      <c r="C389" s="1594">
        <v>377</v>
      </c>
      <c r="D389" s="1665">
        <v>2719365.4824631587</v>
      </c>
    </row>
    <row r="390" spans="2:4" ht="16">
      <c r="B390" s="1632">
        <f t="shared" ca="1" si="5"/>
        <v>0.75547134849199238</v>
      </c>
      <c r="C390" s="1594">
        <v>378</v>
      </c>
      <c r="D390" s="1665">
        <v>2719365.4824631587</v>
      </c>
    </row>
    <row r="391" spans="2:4" ht="16">
      <c r="B391" s="1632">
        <f t="shared" ca="1" si="5"/>
        <v>1.1533457585642859</v>
      </c>
      <c r="C391" s="1594">
        <v>379</v>
      </c>
      <c r="D391" s="1665">
        <v>2719365.4824631587</v>
      </c>
    </row>
    <row r="392" spans="2:4" ht="16">
      <c r="B392" s="1632">
        <f t="shared" ca="1" si="5"/>
        <v>1.0399736314610224</v>
      </c>
      <c r="C392" s="1594">
        <v>380</v>
      </c>
      <c r="D392" s="1665">
        <v>2719365.4824631587</v>
      </c>
    </row>
    <row r="393" spans="2:4" ht="16">
      <c r="B393" s="1632">
        <f t="shared" ca="1" si="5"/>
        <v>0.9418511259502419</v>
      </c>
      <c r="C393" s="1594">
        <v>381</v>
      </c>
      <c r="D393" s="1665">
        <v>2719365.4824631587</v>
      </c>
    </row>
    <row r="394" spans="2:4" ht="16">
      <c r="B394" s="1632">
        <f t="shared" ca="1" si="5"/>
        <v>1.0901953944008516</v>
      </c>
      <c r="C394" s="1594">
        <v>382</v>
      </c>
      <c r="D394" s="1665">
        <v>2719365.4824631587</v>
      </c>
    </row>
    <row r="395" spans="2:4" ht="16">
      <c r="B395" s="1632">
        <f t="shared" ca="1" si="5"/>
        <v>0.94439703689155319</v>
      </c>
      <c r="C395" s="1594">
        <v>383</v>
      </c>
      <c r="D395" s="1665">
        <v>2719365.4824631587</v>
      </c>
    </row>
    <row r="396" spans="2:4" ht="16">
      <c r="B396" s="1632">
        <f t="shared" ca="1" si="5"/>
        <v>0.96725501560162108</v>
      </c>
      <c r="C396" s="1594">
        <v>384</v>
      </c>
      <c r="D396" s="1665">
        <v>2719365.4824631587</v>
      </c>
    </row>
    <row r="397" spans="2:4" ht="16">
      <c r="B397" s="1632">
        <f t="shared" ref="B397:B460" ca="1" si="6">MAX(NORMINV(RAND(),$B$4,$B$5),0)</f>
        <v>1.0344991907782144</v>
      </c>
      <c r="C397" s="1594">
        <v>385</v>
      </c>
      <c r="D397" s="1665">
        <v>2719365.4824631587</v>
      </c>
    </row>
    <row r="398" spans="2:4" ht="16">
      <c r="B398" s="1632">
        <f t="shared" ca="1" si="6"/>
        <v>1.1109202301549361</v>
      </c>
      <c r="C398" s="1594">
        <v>386</v>
      </c>
      <c r="D398" s="1665">
        <v>2719365.4824631587</v>
      </c>
    </row>
    <row r="399" spans="2:4" ht="16">
      <c r="B399" s="1632">
        <f t="shared" ca="1" si="6"/>
        <v>1.1331416080297072</v>
      </c>
      <c r="C399" s="1594">
        <v>387</v>
      </c>
      <c r="D399" s="1665">
        <v>2719365.4824631587</v>
      </c>
    </row>
    <row r="400" spans="2:4" ht="16">
      <c r="B400" s="1632">
        <f t="shared" ca="1" si="6"/>
        <v>0.94787306165012819</v>
      </c>
      <c r="C400" s="1594">
        <v>388</v>
      </c>
      <c r="D400" s="1665">
        <v>2719365.4824631587</v>
      </c>
    </row>
    <row r="401" spans="2:4" ht="16">
      <c r="B401" s="1632">
        <f t="shared" ca="1" si="6"/>
        <v>1.0900296899481705</v>
      </c>
      <c r="C401" s="1594">
        <v>389</v>
      </c>
      <c r="D401" s="1665">
        <v>2719365.4824631587</v>
      </c>
    </row>
    <row r="402" spans="2:4" ht="16">
      <c r="B402" s="1632">
        <f t="shared" ca="1" si="6"/>
        <v>0.8137258455456835</v>
      </c>
      <c r="C402" s="1594">
        <v>390</v>
      </c>
      <c r="D402" s="1665">
        <v>2719365.4824631587</v>
      </c>
    </row>
    <row r="403" spans="2:4" ht="16">
      <c r="B403" s="1632">
        <f t="shared" ca="1" si="6"/>
        <v>1.0550407223122844</v>
      </c>
      <c r="C403" s="1594">
        <v>391</v>
      </c>
      <c r="D403" s="1665">
        <v>2719365.4824631587</v>
      </c>
    </row>
    <row r="404" spans="2:4" ht="16">
      <c r="B404" s="1632">
        <f t="shared" ca="1" si="6"/>
        <v>0.93755499381556873</v>
      </c>
      <c r="C404" s="1594">
        <v>392</v>
      </c>
      <c r="D404" s="1665">
        <v>2719365.4824631587</v>
      </c>
    </row>
    <row r="405" spans="2:4" ht="16">
      <c r="B405" s="1632">
        <f t="shared" ca="1" si="6"/>
        <v>0.89431514866786355</v>
      </c>
      <c r="C405" s="1594">
        <v>393</v>
      </c>
      <c r="D405" s="1665">
        <v>2719365.4824631587</v>
      </c>
    </row>
    <row r="406" spans="2:4" ht="16">
      <c r="B406" s="1632">
        <f t="shared" ca="1" si="6"/>
        <v>1.0158393150548264</v>
      </c>
      <c r="C406" s="1594">
        <v>394</v>
      </c>
      <c r="D406" s="1665">
        <v>2719365.4824631587</v>
      </c>
    </row>
    <row r="407" spans="2:4" ht="16">
      <c r="B407" s="1632">
        <f t="shared" ca="1" si="6"/>
        <v>0.95603278780760825</v>
      </c>
      <c r="C407" s="1594">
        <v>395</v>
      </c>
      <c r="D407" s="1665">
        <v>2719365.4824631587</v>
      </c>
    </row>
    <row r="408" spans="2:4" ht="16">
      <c r="B408" s="1632">
        <f t="shared" ca="1" si="6"/>
        <v>0.94729772111014554</v>
      </c>
      <c r="C408" s="1594">
        <v>396</v>
      </c>
      <c r="D408" s="1665">
        <v>2719365.4824631587</v>
      </c>
    </row>
    <row r="409" spans="2:4" ht="16">
      <c r="B409" s="1632">
        <f t="shared" ca="1" si="6"/>
        <v>0.94965016246576639</v>
      </c>
      <c r="C409" s="1594">
        <v>397</v>
      </c>
      <c r="D409" s="1665">
        <v>2719365.4824631587</v>
      </c>
    </row>
    <row r="410" spans="2:4" ht="16">
      <c r="B410" s="1632">
        <f t="shared" ca="1" si="6"/>
        <v>1.2622743049953868</v>
      </c>
      <c r="C410" s="1594">
        <v>398</v>
      </c>
      <c r="D410" s="1665">
        <v>2719365.4824631587</v>
      </c>
    </row>
    <row r="411" spans="2:4" ht="16">
      <c r="B411" s="1632">
        <f t="shared" ca="1" si="6"/>
        <v>0.96755735749327365</v>
      </c>
      <c r="C411" s="1594">
        <v>399</v>
      </c>
      <c r="D411" s="1665">
        <v>2719365.4824631587</v>
      </c>
    </row>
    <row r="412" spans="2:4" ht="16">
      <c r="B412" s="1632">
        <f t="shared" ca="1" si="6"/>
        <v>1.0447018311341283</v>
      </c>
      <c r="C412" s="1594">
        <v>400</v>
      </c>
      <c r="D412" s="1665">
        <v>2719365.4824631587</v>
      </c>
    </row>
    <row r="413" spans="2:4" ht="16">
      <c r="B413" s="1632">
        <f t="shared" ca="1" si="6"/>
        <v>1.149957842985974</v>
      </c>
      <c r="C413" s="1594">
        <v>401</v>
      </c>
      <c r="D413" s="1665">
        <v>2719365.4824631587</v>
      </c>
    </row>
    <row r="414" spans="2:4" ht="16">
      <c r="B414" s="1632">
        <f t="shared" ca="1" si="6"/>
        <v>1.0773981749043871</v>
      </c>
      <c r="C414" s="1594">
        <v>402</v>
      </c>
      <c r="D414" s="1665">
        <v>2719365.4824631587</v>
      </c>
    </row>
    <row r="415" spans="2:4" ht="16">
      <c r="B415" s="1632">
        <f t="shared" ca="1" si="6"/>
        <v>0.91600556712296866</v>
      </c>
      <c r="C415" s="1594">
        <v>403</v>
      </c>
      <c r="D415" s="1665">
        <v>2719365.4824631587</v>
      </c>
    </row>
    <row r="416" spans="2:4" ht="16">
      <c r="B416" s="1632">
        <f t="shared" ca="1" si="6"/>
        <v>0.91750133141207024</v>
      </c>
      <c r="C416" s="1594">
        <v>404</v>
      </c>
      <c r="D416" s="1665">
        <v>2719365.4824631587</v>
      </c>
    </row>
    <row r="417" spans="2:4" ht="16">
      <c r="B417" s="1632">
        <f t="shared" ca="1" si="6"/>
        <v>1.1382862744662607</v>
      </c>
      <c r="C417" s="1594">
        <v>405</v>
      </c>
      <c r="D417" s="1665">
        <v>2719365.4824631587</v>
      </c>
    </row>
    <row r="418" spans="2:4" ht="16">
      <c r="B418" s="1632">
        <f t="shared" ca="1" si="6"/>
        <v>0.93787075821644295</v>
      </c>
      <c r="C418" s="1594">
        <v>406</v>
      </c>
      <c r="D418" s="1665">
        <v>2719365.4824631587</v>
      </c>
    </row>
    <row r="419" spans="2:4" ht="16">
      <c r="B419" s="1632">
        <f t="shared" ca="1" si="6"/>
        <v>0.92436159943125984</v>
      </c>
      <c r="C419" s="1594">
        <v>407</v>
      </c>
      <c r="D419" s="1665">
        <v>2719365.4824631587</v>
      </c>
    </row>
    <row r="420" spans="2:4" ht="16">
      <c r="B420" s="1632">
        <f t="shared" ca="1" si="6"/>
        <v>0.96195450481131184</v>
      </c>
      <c r="C420" s="1594">
        <v>408</v>
      </c>
      <c r="D420" s="1665">
        <v>2719365.4824631587</v>
      </c>
    </row>
    <row r="421" spans="2:4" ht="16">
      <c r="B421" s="1632">
        <f t="shared" ca="1" si="6"/>
        <v>1.1616565149329041</v>
      </c>
      <c r="C421" s="1594">
        <v>409</v>
      </c>
      <c r="D421" s="1665">
        <v>2719365.4824631587</v>
      </c>
    </row>
    <row r="422" spans="2:4" ht="16">
      <c r="B422" s="1632">
        <f t="shared" ca="1" si="6"/>
        <v>1.048736659658924</v>
      </c>
      <c r="C422" s="1594">
        <v>410</v>
      </c>
      <c r="D422" s="1665">
        <v>2719365.4824631587</v>
      </c>
    </row>
    <row r="423" spans="2:4" ht="16">
      <c r="B423" s="1632">
        <f t="shared" ca="1" si="6"/>
        <v>1.0986606106408026</v>
      </c>
      <c r="C423" s="1594">
        <v>411</v>
      </c>
      <c r="D423" s="1665">
        <v>2719365.4824631587</v>
      </c>
    </row>
    <row r="424" spans="2:4" ht="16">
      <c r="B424" s="1632">
        <f t="shared" ca="1" si="6"/>
        <v>1.0425627150684365</v>
      </c>
      <c r="C424" s="1594">
        <v>412</v>
      </c>
      <c r="D424" s="1665">
        <v>2719365.4824631587</v>
      </c>
    </row>
    <row r="425" spans="2:4" ht="16">
      <c r="B425" s="1632">
        <f t="shared" ca="1" si="6"/>
        <v>0.72149887888180431</v>
      </c>
      <c r="C425" s="1594">
        <v>413</v>
      </c>
      <c r="D425" s="1665">
        <v>2719365.4824631587</v>
      </c>
    </row>
    <row r="426" spans="2:4" ht="16">
      <c r="B426" s="1632">
        <f t="shared" ca="1" si="6"/>
        <v>1.0478645502212867</v>
      </c>
      <c r="C426" s="1594">
        <v>414</v>
      </c>
      <c r="D426" s="1665">
        <v>2719365.4824631587</v>
      </c>
    </row>
    <row r="427" spans="2:4" ht="16">
      <c r="B427" s="1632">
        <f t="shared" ca="1" si="6"/>
        <v>0.90424472644655485</v>
      </c>
      <c r="C427" s="1594">
        <v>415</v>
      </c>
      <c r="D427" s="1665">
        <v>2719365.4824631587</v>
      </c>
    </row>
    <row r="428" spans="2:4" ht="16">
      <c r="B428" s="1632">
        <f t="shared" ca="1" si="6"/>
        <v>1.1198906238385422</v>
      </c>
      <c r="C428" s="1594">
        <v>416</v>
      </c>
      <c r="D428" s="1665">
        <v>2719365.4824631587</v>
      </c>
    </row>
    <row r="429" spans="2:4" ht="16">
      <c r="B429" s="1632">
        <f t="shared" ca="1" si="6"/>
        <v>1.126071985955458</v>
      </c>
      <c r="C429" s="1594">
        <v>417</v>
      </c>
      <c r="D429" s="1665">
        <v>2719365.4824631587</v>
      </c>
    </row>
    <row r="430" spans="2:4" ht="16">
      <c r="B430" s="1632">
        <f t="shared" ca="1" si="6"/>
        <v>0.87483803343665023</v>
      </c>
      <c r="C430" s="1594">
        <v>418</v>
      </c>
      <c r="D430" s="1665">
        <v>2719365.4824631587</v>
      </c>
    </row>
    <row r="431" spans="2:4" ht="16">
      <c r="B431" s="1632">
        <f t="shared" ca="1" si="6"/>
        <v>0.96267731666727963</v>
      </c>
      <c r="C431" s="1594">
        <v>419</v>
      </c>
      <c r="D431" s="1665">
        <v>2719365.4824631587</v>
      </c>
    </row>
    <row r="432" spans="2:4" ht="16">
      <c r="B432" s="1632">
        <f t="shared" ca="1" si="6"/>
        <v>1.06598618746172</v>
      </c>
      <c r="C432" s="1594">
        <v>420</v>
      </c>
      <c r="D432" s="1665">
        <v>2719365.4824631587</v>
      </c>
    </row>
    <row r="433" spans="2:4" ht="16">
      <c r="B433" s="1632">
        <f t="shared" ca="1" si="6"/>
        <v>1.0437134754600197</v>
      </c>
      <c r="C433" s="1594">
        <v>421</v>
      </c>
      <c r="D433" s="1665">
        <v>2719365.4824631587</v>
      </c>
    </row>
    <row r="434" spans="2:4" ht="16">
      <c r="B434" s="1632">
        <f t="shared" ca="1" si="6"/>
        <v>1.1925369087100277</v>
      </c>
      <c r="C434" s="1594">
        <v>422</v>
      </c>
      <c r="D434" s="1665">
        <v>2719365.4824631587</v>
      </c>
    </row>
    <row r="435" spans="2:4" ht="16">
      <c r="B435" s="1632">
        <f t="shared" ca="1" si="6"/>
        <v>0.85895965024444598</v>
      </c>
      <c r="C435" s="1594">
        <v>423</v>
      </c>
      <c r="D435" s="1665">
        <v>2719365.4824631587</v>
      </c>
    </row>
    <row r="436" spans="2:4" ht="16">
      <c r="B436" s="1632">
        <f t="shared" ca="1" si="6"/>
        <v>1.1873733541582272</v>
      </c>
      <c r="C436" s="1594">
        <v>424</v>
      </c>
      <c r="D436" s="1665">
        <v>2719365.4824631587</v>
      </c>
    </row>
    <row r="437" spans="2:4" ht="16">
      <c r="B437" s="1632">
        <f t="shared" ca="1" si="6"/>
        <v>1.2120513150771408</v>
      </c>
      <c r="C437" s="1594">
        <v>425</v>
      </c>
      <c r="D437" s="1665">
        <v>2719365.4824631587</v>
      </c>
    </row>
    <row r="438" spans="2:4" ht="16">
      <c r="B438" s="1632">
        <f t="shared" ca="1" si="6"/>
        <v>0.91305751215620401</v>
      </c>
      <c r="C438" s="1594">
        <v>426</v>
      </c>
      <c r="D438" s="1665">
        <v>2719365.4824631587</v>
      </c>
    </row>
    <row r="439" spans="2:4" ht="16">
      <c r="B439" s="1632">
        <f t="shared" ca="1" si="6"/>
        <v>0.98390256595859049</v>
      </c>
      <c r="C439" s="1594">
        <v>427</v>
      </c>
      <c r="D439" s="1665">
        <v>2719365.4824631587</v>
      </c>
    </row>
    <row r="440" spans="2:4" ht="16">
      <c r="B440" s="1632">
        <f t="shared" ca="1" si="6"/>
        <v>1.114093090076395</v>
      </c>
      <c r="C440" s="1594">
        <v>428</v>
      </c>
      <c r="D440" s="1665">
        <v>2719365.4824631587</v>
      </c>
    </row>
    <row r="441" spans="2:4" ht="16">
      <c r="B441" s="1632">
        <f t="shared" ca="1" si="6"/>
        <v>0.90437025487670031</v>
      </c>
      <c r="C441" s="1594">
        <v>429</v>
      </c>
      <c r="D441" s="1665">
        <v>2719365.4824631587</v>
      </c>
    </row>
    <row r="442" spans="2:4" ht="16">
      <c r="B442" s="1632">
        <f t="shared" ca="1" si="6"/>
        <v>1.1978309278428407</v>
      </c>
      <c r="C442" s="1594">
        <v>430</v>
      </c>
      <c r="D442" s="1665">
        <v>2719365.4824631587</v>
      </c>
    </row>
    <row r="443" spans="2:4" ht="16">
      <c r="B443" s="1632">
        <f t="shared" ca="1" si="6"/>
        <v>1.0153950113157582</v>
      </c>
      <c r="C443" s="1594">
        <v>431</v>
      </c>
      <c r="D443" s="1665">
        <v>2719365.4824631587</v>
      </c>
    </row>
    <row r="444" spans="2:4" ht="16">
      <c r="B444" s="1632">
        <f t="shared" ca="1" si="6"/>
        <v>1.0336082340359816</v>
      </c>
      <c r="C444" s="1594">
        <v>432</v>
      </c>
      <c r="D444" s="1665">
        <v>2719365.4824631587</v>
      </c>
    </row>
    <row r="445" spans="2:4" ht="16">
      <c r="B445" s="1632">
        <f t="shared" ca="1" si="6"/>
        <v>0.94971517237705472</v>
      </c>
      <c r="C445" s="1594">
        <v>433</v>
      </c>
      <c r="D445" s="1665">
        <v>2719365.4824631587</v>
      </c>
    </row>
    <row r="446" spans="2:4" ht="16">
      <c r="B446" s="1632">
        <f t="shared" ca="1" si="6"/>
        <v>1.0971207678723283</v>
      </c>
      <c r="C446" s="1594">
        <v>434</v>
      </c>
      <c r="D446" s="1665">
        <v>2719365.4824631587</v>
      </c>
    </row>
    <row r="447" spans="2:4" ht="16">
      <c r="B447" s="1632">
        <f t="shared" ca="1" si="6"/>
        <v>0.90340458513677468</v>
      </c>
      <c r="C447" s="1594">
        <v>435</v>
      </c>
      <c r="D447" s="1665">
        <v>2719365.4824631587</v>
      </c>
    </row>
    <row r="448" spans="2:4" ht="16">
      <c r="B448" s="1632">
        <f t="shared" ca="1" si="6"/>
        <v>1.1682022583255387</v>
      </c>
      <c r="C448" s="1594">
        <v>436</v>
      </c>
      <c r="D448" s="1665">
        <v>2719365.4824631587</v>
      </c>
    </row>
    <row r="449" spans="2:4" ht="16">
      <c r="B449" s="1632">
        <f t="shared" ca="1" si="6"/>
        <v>0.97372184012176632</v>
      </c>
      <c r="C449" s="1594">
        <v>437</v>
      </c>
      <c r="D449" s="1665">
        <v>2719365.4824631587</v>
      </c>
    </row>
    <row r="450" spans="2:4" ht="16">
      <c r="B450" s="1632">
        <f t="shared" ca="1" si="6"/>
        <v>1.0370787682904188</v>
      </c>
      <c r="C450" s="1594">
        <v>438</v>
      </c>
      <c r="D450" s="1665">
        <v>2719365.4824631587</v>
      </c>
    </row>
    <row r="451" spans="2:4" ht="16">
      <c r="B451" s="1632">
        <f t="shared" ca="1" si="6"/>
        <v>1.1033665356918787</v>
      </c>
      <c r="C451" s="1594">
        <v>439</v>
      </c>
      <c r="D451" s="1665">
        <v>2719365.4824631587</v>
      </c>
    </row>
    <row r="452" spans="2:4" ht="16">
      <c r="B452" s="1632">
        <f t="shared" ca="1" si="6"/>
        <v>0.94718574532147115</v>
      </c>
      <c r="C452" s="1594">
        <v>440</v>
      </c>
      <c r="D452" s="1665">
        <v>2719365.4824631587</v>
      </c>
    </row>
    <row r="453" spans="2:4" ht="16">
      <c r="B453" s="1632">
        <f t="shared" ca="1" si="6"/>
        <v>1.2607489378558752</v>
      </c>
      <c r="C453" s="1594">
        <v>441</v>
      </c>
      <c r="D453" s="1665">
        <v>2719365.4824631587</v>
      </c>
    </row>
    <row r="454" spans="2:4" ht="16">
      <c r="B454" s="1632">
        <f t="shared" ca="1" si="6"/>
        <v>0.86503665701454002</v>
      </c>
      <c r="C454" s="1594">
        <v>442</v>
      </c>
      <c r="D454" s="1665">
        <v>2719365.4824631587</v>
      </c>
    </row>
    <row r="455" spans="2:4" ht="16">
      <c r="B455" s="1632">
        <f t="shared" ca="1" si="6"/>
        <v>1.0503396634732711</v>
      </c>
      <c r="C455" s="1594">
        <v>443</v>
      </c>
      <c r="D455" s="1665">
        <v>2719365.4824631587</v>
      </c>
    </row>
    <row r="456" spans="2:4" ht="16">
      <c r="B456" s="1632">
        <f t="shared" ca="1" si="6"/>
        <v>0.92929566826286514</v>
      </c>
      <c r="C456" s="1594">
        <v>444</v>
      </c>
      <c r="D456" s="1665">
        <v>2719365.4824631587</v>
      </c>
    </row>
    <row r="457" spans="2:4" ht="16">
      <c r="B457" s="1632">
        <f t="shared" ca="1" si="6"/>
        <v>1.1892204789386962</v>
      </c>
      <c r="C457" s="1594">
        <v>445</v>
      </c>
      <c r="D457" s="1665">
        <v>2719365.4824631587</v>
      </c>
    </row>
    <row r="458" spans="2:4" ht="16">
      <c r="B458" s="1632">
        <f t="shared" ca="1" si="6"/>
        <v>1.0146414161592148</v>
      </c>
      <c r="C458" s="1594">
        <v>446</v>
      </c>
      <c r="D458" s="1665">
        <v>2719365.4824631587</v>
      </c>
    </row>
    <row r="459" spans="2:4" ht="16">
      <c r="B459" s="1632">
        <f t="shared" ca="1" si="6"/>
        <v>0.86398190475589343</v>
      </c>
      <c r="C459" s="1594">
        <v>447</v>
      </c>
      <c r="D459" s="1665">
        <v>2719365.4824631587</v>
      </c>
    </row>
    <row r="460" spans="2:4" ht="16">
      <c r="B460" s="1632">
        <f t="shared" ca="1" si="6"/>
        <v>0.95116936993349255</v>
      </c>
      <c r="C460" s="1594">
        <v>448</v>
      </c>
      <c r="D460" s="1665">
        <v>2719365.4824631587</v>
      </c>
    </row>
    <row r="461" spans="2:4" ht="16">
      <c r="B461" s="1632">
        <f t="shared" ref="B461:B524" ca="1" si="7">MAX(NORMINV(RAND(),$B$4,$B$5),0)</f>
        <v>0.96712940485612442</v>
      </c>
      <c r="C461" s="1594">
        <v>449</v>
      </c>
      <c r="D461" s="1665">
        <v>2719365.4824631587</v>
      </c>
    </row>
    <row r="462" spans="2:4" ht="16">
      <c r="B462" s="1632">
        <f t="shared" ca="1" si="7"/>
        <v>1.127868355186127</v>
      </c>
      <c r="C462" s="1594">
        <v>450</v>
      </c>
      <c r="D462" s="1665">
        <v>2719365.4824631587</v>
      </c>
    </row>
    <row r="463" spans="2:4" ht="16">
      <c r="B463" s="1632">
        <f t="shared" ca="1" si="7"/>
        <v>0.89421260577472261</v>
      </c>
      <c r="C463" s="1594">
        <v>451</v>
      </c>
      <c r="D463" s="1665">
        <v>2719365.4824631587</v>
      </c>
    </row>
    <row r="464" spans="2:4" ht="16">
      <c r="B464" s="1632">
        <f t="shared" ca="1" si="7"/>
        <v>1.1322750762593563</v>
      </c>
      <c r="C464" s="1594">
        <v>452</v>
      </c>
      <c r="D464" s="1665">
        <v>2719365.4824631587</v>
      </c>
    </row>
    <row r="465" spans="2:4" ht="16">
      <c r="B465" s="1632">
        <f t="shared" ca="1" si="7"/>
        <v>0.76315887171655783</v>
      </c>
      <c r="C465" s="1594">
        <v>453</v>
      </c>
      <c r="D465" s="1665">
        <v>2719365.4824631587</v>
      </c>
    </row>
    <row r="466" spans="2:4" ht="16">
      <c r="B466" s="1632">
        <f t="shared" ca="1" si="7"/>
        <v>1.0427503879169366</v>
      </c>
      <c r="C466" s="1594">
        <v>454</v>
      </c>
      <c r="D466" s="1665">
        <v>2719365.4824631587</v>
      </c>
    </row>
    <row r="467" spans="2:4" ht="16">
      <c r="B467" s="1632">
        <f t="shared" ca="1" si="7"/>
        <v>0.63207692751277644</v>
      </c>
      <c r="C467" s="1594">
        <v>455</v>
      </c>
      <c r="D467" s="1665">
        <v>2719365.4824631587</v>
      </c>
    </row>
    <row r="468" spans="2:4" ht="16">
      <c r="B468" s="1632">
        <f t="shared" ca="1" si="7"/>
        <v>0.95983235732287631</v>
      </c>
      <c r="C468" s="1594">
        <v>456</v>
      </c>
      <c r="D468" s="1665">
        <v>2719365.4824631587</v>
      </c>
    </row>
    <row r="469" spans="2:4" ht="16">
      <c r="B469" s="1632">
        <f t="shared" ca="1" si="7"/>
        <v>0.84203702881499631</v>
      </c>
      <c r="C469" s="1594">
        <v>457</v>
      </c>
      <c r="D469" s="1665">
        <v>2719365.4824631587</v>
      </c>
    </row>
    <row r="470" spans="2:4" ht="16">
      <c r="B470" s="1632">
        <f t="shared" ca="1" si="7"/>
        <v>0.85012028786573479</v>
      </c>
      <c r="C470" s="1594">
        <v>458</v>
      </c>
      <c r="D470" s="1665">
        <v>2719365.4824631587</v>
      </c>
    </row>
    <row r="471" spans="2:4" ht="16">
      <c r="B471" s="1632">
        <f t="shared" ca="1" si="7"/>
        <v>1.0121375363247471</v>
      </c>
      <c r="C471" s="1594">
        <v>459</v>
      </c>
      <c r="D471" s="1665">
        <v>2719365.4824631587</v>
      </c>
    </row>
    <row r="472" spans="2:4" ht="16">
      <c r="B472" s="1632">
        <f t="shared" ca="1" si="7"/>
        <v>1.1497924687386993</v>
      </c>
      <c r="C472" s="1594">
        <v>460</v>
      </c>
      <c r="D472" s="1665">
        <v>2719365.4824631587</v>
      </c>
    </row>
    <row r="473" spans="2:4" ht="16">
      <c r="B473" s="1632">
        <f t="shared" ca="1" si="7"/>
        <v>1.0392951877742447</v>
      </c>
      <c r="C473" s="1594">
        <v>461</v>
      </c>
      <c r="D473" s="1665">
        <v>2719365.4824631587</v>
      </c>
    </row>
    <row r="474" spans="2:4" ht="16">
      <c r="B474" s="1632">
        <f t="shared" ca="1" si="7"/>
        <v>0.82578825717788074</v>
      </c>
      <c r="C474" s="1594">
        <v>462</v>
      </c>
      <c r="D474" s="1665">
        <v>2719365.4824631587</v>
      </c>
    </row>
    <row r="475" spans="2:4" ht="16">
      <c r="B475" s="1632">
        <f t="shared" ca="1" si="7"/>
        <v>1.2383907142597377</v>
      </c>
      <c r="C475" s="1594">
        <v>463</v>
      </c>
      <c r="D475" s="1665">
        <v>2719365.4824631587</v>
      </c>
    </row>
    <row r="476" spans="2:4" ht="16">
      <c r="B476" s="1632">
        <f t="shared" ca="1" si="7"/>
        <v>0.88770099684733805</v>
      </c>
      <c r="C476" s="1594">
        <v>464</v>
      </c>
      <c r="D476" s="1665">
        <v>2719365.4824631587</v>
      </c>
    </row>
    <row r="477" spans="2:4" ht="16">
      <c r="B477" s="1632">
        <f t="shared" ca="1" si="7"/>
        <v>0.87489743533641695</v>
      </c>
      <c r="C477" s="1594">
        <v>465</v>
      </c>
      <c r="D477" s="1665">
        <v>2719365.4824631587</v>
      </c>
    </row>
    <row r="478" spans="2:4" ht="16">
      <c r="B478" s="1632">
        <f t="shared" ca="1" si="7"/>
        <v>0.95930863832802427</v>
      </c>
      <c r="C478" s="1594">
        <v>466</v>
      </c>
      <c r="D478" s="1665">
        <v>2719365.4824631587</v>
      </c>
    </row>
    <row r="479" spans="2:4" ht="16">
      <c r="B479" s="1632">
        <f t="shared" ca="1" si="7"/>
        <v>1.0898232631639733</v>
      </c>
      <c r="C479" s="1594">
        <v>467</v>
      </c>
      <c r="D479" s="1665">
        <v>2719365.4824631587</v>
      </c>
    </row>
    <row r="480" spans="2:4" ht="16">
      <c r="B480" s="1632">
        <f t="shared" ca="1" si="7"/>
        <v>1.0302215716633427</v>
      </c>
      <c r="C480" s="1594">
        <v>468</v>
      </c>
      <c r="D480" s="1665">
        <v>2719365.4824631587</v>
      </c>
    </row>
    <row r="481" spans="2:4" ht="16">
      <c r="B481" s="1632">
        <f t="shared" ca="1" si="7"/>
        <v>1.0461935551911723</v>
      </c>
      <c r="C481" s="1594">
        <v>469</v>
      </c>
      <c r="D481" s="1665">
        <v>2719365.4824631587</v>
      </c>
    </row>
    <row r="482" spans="2:4" ht="16">
      <c r="B482" s="1632">
        <f t="shared" ca="1" si="7"/>
        <v>1.1617161704997208</v>
      </c>
      <c r="C482" s="1594">
        <v>470</v>
      </c>
      <c r="D482" s="1665">
        <v>2719365.4824631587</v>
      </c>
    </row>
    <row r="483" spans="2:4" ht="16">
      <c r="B483" s="1632">
        <f t="shared" ca="1" si="7"/>
        <v>0.92488334362581703</v>
      </c>
      <c r="C483" s="1594">
        <v>471</v>
      </c>
      <c r="D483" s="1665">
        <v>2719365.4824631587</v>
      </c>
    </row>
    <row r="484" spans="2:4" ht="16">
      <c r="B484" s="1632">
        <f t="shared" ca="1" si="7"/>
        <v>1.2438307759096663</v>
      </c>
      <c r="C484" s="1594">
        <v>472</v>
      </c>
      <c r="D484" s="1665">
        <v>2719365.4824631587</v>
      </c>
    </row>
    <row r="485" spans="2:4" ht="16">
      <c r="B485" s="1632">
        <f t="shared" ca="1" si="7"/>
        <v>0.65524296261688209</v>
      </c>
      <c r="C485" s="1594">
        <v>473</v>
      </c>
      <c r="D485" s="1665">
        <v>2719365.4824631587</v>
      </c>
    </row>
    <row r="486" spans="2:4" ht="16">
      <c r="B486" s="1632">
        <f t="shared" ca="1" si="7"/>
        <v>0.9636203852387607</v>
      </c>
      <c r="C486" s="1594">
        <v>474</v>
      </c>
      <c r="D486" s="1665">
        <v>2719365.4824631587</v>
      </c>
    </row>
    <row r="487" spans="2:4" ht="16">
      <c r="B487" s="1632">
        <f t="shared" ca="1" si="7"/>
        <v>0.99681951509391065</v>
      </c>
      <c r="C487" s="1594">
        <v>475</v>
      </c>
      <c r="D487" s="1665">
        <v>2719365.4824631587</v>
      </c>
    </row>
    <row r="488" spans="2:4" ht="16">
      <c r="B488" s="1632">
        <f t="shared" ca="1" si="7"/>
        <v>0.96073433367304284</v>
      </c>
      <c r="C488" s="1594">
        <v>476</v>
      </c>
      <c r="D488" s="1665">
        <v>2719365.4824631587</v>
      </c>
    </row>
    <row r="489" spans="2:4" ht="16">
      <c r="B489" s="1632">
        <f t="shared" ca="1" si="7"/>
        <v>1.2374403931831923</v>
      </c>
      <c r="C489" s="1594">
        <v>477</v>
      </c>
      <c r="D489" s="1665">
        <v>2719365.4824631587</v>
      </c>
    </row>
    <row r="490" spans="2:4" ht="16">
      <c r="B490" s="1632">
        <f t="shared" ca="1" si="7"/>
        <v>1.0099536775407731</v>
      </c>
      <c r="C490" s="1594">
        <v>478</v>
      </c>
      <c r="D490" s="1665">
        <v>2719365.4824631587</v>
      </c>
    </row>
    <row r="491" spans="2:4" ht="16">
      <c r="B491" s="1632">
        <f t="shared" ca="1" si="7"/>
        <v>1.031144498197708</v>
      </c>
      <c r="C491" s="1594">
        <v>479</v>
      </c>
      <c r="D491" s="1665">
        <v>2719365.4824631587</v>
      </c>
    </row>
    <row r="492" spans="2:4" ht="16">
      <c r="B492" s="1632">
        <f t="shared" ca="1" si="7"/>
        <v>0.92190329748567557</v>
      </c>
      <c r="C492" s="1594">
        <v>480</v>
      </c>
      <c r="D492" s="1665">
        <v>2719365.4824631587</v>
      </c>
    </row>
    <row r="493" spans="2:4" ht="16">
      <c r="B493" s="1632">
        <f t="shared" ca="1" si="7"/>
        <v>1.3205334972948233</v>
      </c>
      <c r="C493" s="1594">
        <v>481</v>
      </c>
      <c r="D493" s="1665">
        <v>2719365.4824631587</v>
      </c>
    </row>
    <row r="494" spans="2:4" ht="16">
      <c r="B494" s="1632">
        <f t="shared" ca="1" si="7"/>
        <v>1.2098660100039269</v>
      </c>
      <c r="C494" s="1594">
        <v>482</v>
      </c>
      <c r="D494" s="1665">
        <v>2719365.4824631587</v>
      </c>
    </row>
    <row r="495" spans="2:4" ht="16">
      <c r="B495" s="1632">
        <f t="shared" ca="1" si="7"/>
        <v>0.84888358921143248</v>
      </c>
      <c r="C495" s="1594">
        <v>483</v>
      </c>
      <c r="D495" s="1665">
        <v>2719365.4824631587</v>
      </c>
    </row>
    <row r="496" spans="2:4" ht="16">
      <c r="B496" s="1632">
        <f t="shared" ca="1" si="7"/>
        <v>0.83868247310613986</v>
      </c>
      <c r="C496" s="1594">
        <v>484</v>
      </c>
      <c r="D496" s="1665">
        <v>2719365.4824631587</v>
      </c>
    </row>
    <row r="497" spans="2:4" ht="16">
      <c r="B497" s="1632">
        <f t="shared" ca="1" si="7"/>
        <v>1.0877335067390359</v>
      </c>
      <c r="C497" s="1594">
        <v>485</v>
      </c>
      <c r="D497" s="1665">
        <v>2719365.4824631587</v>
      </c>
    </row>
    <row r="498" spans="2:4" ht="16">
      <c r="B498" s="1632">
        <f t="shared" ca="1" si="7"/>
        <v>1.0898079595972652</v>
      </c>
      <c r="C498" s="1594">
        <v>486</v>
      </c>
      <c r="D498" s="1665">
        <v>2719365.4824631587</v>
      </c>
    </row>
    <row r="499" spans="2:4" ht="16">
      <c r="B499" s="1632">
        <f t="shared" ca="1" si="7"/>
        <v>1.1641656182415514</v>
      </c>
      <c r="C499" s="1594">
        <v>487</v>
      </c>
      <c r="D499" s="1665">
        <v>2719365.4824631587</v>
      </c>
    </row>
    <row r="500" spans="2:4" ht="16">
      <c r="B500" s="1632">
        <f t="shared" ca="1" si="7"/>
        <v>0.78067040419928502</v>
      </c>
      <c r="C500" s="1594">
        <v>488</v>
      </c>
      <c r="D500" s="1665">
        <v>2719365.4824631587</v>
      </c>
    </row>
    <row r="501" spans="2:4" ht="16">
      <c r="B501" s="1632">
        <f t="shared" ca="1" si="7"/>
        <v>1.1613548458395666</v>
      </c>
      <c r="C501" s="1594">
        <v>489</v>
      </c>
      <c r="D501" s="1665">
        <v>2719365.4824631587</v>
      </c>
    </row>
    <row r="502" spans="2:4" ht="16">
      <c r="B502" s="1632">
        <f t="shared" ca="1" si="7"/>
        <v>0.9566018686062846</v>
      </c>
      <c r="C502" s="1594">
        <v>490</v>
      </c>
      <c r="D502" s="1665">
        <v>2719365.4824631587</v>
      </c>
    </row>
    <row r="503" spans="2:4" ht="16">
      <c r="B503" s="1632">
        <f t="shared" ca="1" si="7"/>
        <v>1.1122929310757292</v>
      </c>
      <c r="C503" s="1594">
        <v>491</v>
      </c>
      <c r="D503" s="1665">
        <v>2719365.4824631587</v>
      </c>
    </row>
    <row r="504" spans="2:4" ht="16">
      <c r="B504" s="1632">
        <f t="shared" ca="1" si="7"/>
        <v>0.91735521917687513</v>
      </c>
      <c r="C504" s="1594">
        <v>492</v>
      </c>
      <c r="D504" s="1665">
        <v>2719365.4824631587</v>
      </c>
    </row>
    <row r="505" spans="2:4" ht="16">
      <c r="B505" s="1632">
        <f t="shared" ca="1" si="7"/>
        <v>0.95530635416901655</v>
      </c>
      <c r="C505" s="1594">
        <v>493</v>
      </c>
      <c r="D505" s="1665">
        <v>2719365.4824631587</v>
      </c>
    </row>
    <row r="506" spans="2:4" ht="16">
      <c r="B506" s="1632">
        <f t="shared" ca="1" si="7"/>
        <v>0.88086662300921004</v>
      </c>
      <c r="C506" s="1594">
        <v>494</v>
      </c>
      <c r="D506" s="1665">
        <v>2719365.4824631587</v>
      </c>
    </row>
    <row r="507" spans="2:4" ht="16">
      <c r="B507" s="1632">
        <f t="shared" ca="1" si="7"/>
        <v>0.76064907315921981</v>
      </c>
      <c r="C507" s="1594">
        <v>495</v>
      </c>
      <c r="D507" s="1665">
        <v>2719365.4824631587</v>
      </c>
    </row>
    <row r="508" spans="2:4" ht="16">
      <c r="B508" s="1632">
        <f t="shared" ca="1" si="7"/>
        <v>0.93044314610796719</v>
      </c>
      <c r="C508" s="1594">
        <v>496</v>
      </c>
      <c r="D508" s="1665">
        <v>2719365.4824631587</v>
      </c>
    </row>
    <row r="509" spans="2:4" ht="16">
      <c r="B509" s="1632">
        <f t="shared" ca="1" si="7"/>
        <v>0.90856510324207174</v>
      </c>
      <c r="C509" s="1594">
        <v>497</v>
      </c>
      <c r="D509" s="1665">
        <v>2719365.4824631587</v>
      </c>
    </row>
    <row r="510" spans="2:4" ht="16">
      <c r="B510" s="1632">
        <f t="shared" ca="1" si="7"/>
        <v>1.0718949889518237</v>
      </c>
      <c r="C510" s="1594">
        <v>498</v>
      </c>
      <c r="D510" s="1665">
        <v>2719365.4824631587</v>
      </c>
    </row>
    <row r="511" spans="2:4" ht="16">
      <c r="B511" s="1632">
        <f t="shared" ca="1" si="7"/>
        <v>1.0237555214776641</v>
      </c>
      <c r="C511" s="1594">
        <v>499</v>
      </c>
      <c r="D511" s="1665">
        <v>2719365.4824631587</v>
      </c>
    </row>
    <row r="512" spans="2:4" ht="16">
      <c r="B512" s="1632">
        <f t="shared" ca="1" si="7"/>
        <v>0.99376068756136615</v>
      </c>
      <c r="C512" s="1594">
        <v>500</v>
      </c>
      <c r="D512" s="1665">
        <v>2719365.4824631587</v>
      </c>
    </row>
    <row r="513" spans="2:4" ht="16">
      <c r="B513" s="1632">
        <f t="shared" ca="1" si="7"/>
        <v>1.1947209902547027</v>
      </c>
      <c r="C513" s="1594">
        <v>501</v>
      </c>
      <c r="D513" s="1665">
        <v>2719365.4824631587</v>
      </c>
    </row>
    <row r="514" spans="2:4" ht="16">
      <c r="B514" s="1632">
        <f t="shared" ca="1" si="7"/>
        <v>0.92310700937228829</v>
      </c>
      <c r="C514" s="1594">
        <v>502</v>
      </c>
      <c r="D514" s="1665">
        <v>2719365.4824631587</v>
      </c>
    </row>
    <row r="515" spans="2:4" ht="16">
      <c r="B515" s="1632">
        <f t="shared" ca="1" si="7"/>
        <v>1.3178628437009361</v>
      </c>
      <c r="C515" s="1594">
        <v>503</v>
      </c>
      <c r="D515" s="1665">
        <v>2719365.4824631587</v>
      </c>
    </row>
    <row r="516" spans="2:4" ht="16">
      <c r="B516" s="1632">
        <f t="shared" ca="1" si="7"/>
        <v>0.76527682603509772</v>
      </c>
      <c r="C516" s="1594">
        <v>504</v>
      </c>
      <c r="D516" s="1665">
        <v>2719365.4824631587</v>
      </c>
    </row>
    <row r="517" spans="2:4" ht="16">
      <c r="B517" s="1632">
        <f t="shared" ca="1" si="7"/>
        <v>0.78651412805569576</v>
      </c>
      <c r="C517" s="1594">
        <v>505</v>
      </c>
      <c r="D517" s="1665">
        <v>2719365.4824631587</v>
      </c>
    </row>
    <row r="518" spans="2:4" ht="16">
      <c r="B518" s="1632">
        <f t="shared" ca="1" si="7"/>
        <v>1.0243011577943457</v>
      </c>
      <c r="C518" s="1594">
        <v>506</v>
      </c>
      <c r="D518" s="1665">
        <v>2719365.4824631587</v>
      </c>
    </row>
    <row r="519" spans="2:4" ht="16">
      <c r="B519" s="1632">
        <f t="shared" ca="1" si="7"/>
        <v>0.95603817882159625</v>
      </c>
      <c r="C519" s="1594">
        <v>507</v>
      </c>
      <c r="D519" s="1665">
        <v>2719365.4824631587</v>
      </c>
    </row>
    <row r="520" spans="2:4" ht="16">
      <c r="B520" s="1632">
        <f t="shared" ca="1" si="7"/>
        <v>1.2250590595466109</v>
      </c>
      <c r="C520" s="1594">
        <v>508</v>
      </c>
      <c r="D520" s="1665">
        <v>2719365.4824631587</v>
      </c>
    </row>
    <row r="521" spans="2:4" ht="16">
      <c r="B521" s="1632">
        <f t="shared" ca="1" si="7"/>
        <v>0.9121245225757233</v>
      </c>
      <c r="C521" s="1594">
        <v>509</v>
      </c>
      <c r="D521" s="1665">
        <v>2719365.4824631587</v>
      </c>
    </row>
    <row r="522" spans="2:4" ht="16">
      <c r="B522" s="1632">
        <f t="shared" ca="1" si="7"/>
        <v>1.0154522063834674</v>
      </c>
      <c r="C522" s="1594">
        <v>510</v>
      </c>
      <c r="D522" s="1665">
        <v>2719365.4824631587</v>
      </c>
    </row>
    <row r="523" spans="2:4" ht="16">
      <c r="B523" s="1632">
        <f t="shared" ca="1" si="7"/>
        <v>0.91066544972481134</v>
      </c>
      <c r="C523" s="1594">
        <v>511</v>
      </c>
      <c r="D523" s="1665">
        <v>2719365.4824631587</v>
      </c>
    </row>
    <row r="524" spans="2:4" ht="16">
      <c r="B524" s="1632">
        <f t="shared" ca="1" si="7"/>
        <v>1.0181007830287041</v>
      </c>
      <c r="C524" s="1594">
        <v>512</v>
      </c>
      <c r="D524" s="1665">
        <v>2719365.4824631587</v>
      </c>
    </row>
    <row r="525" spans="2:4" ht="16">
      <c r="B525" s="1632">
        <f t="shared" ref="B525:B588" ca="1" si="8">MAX(NORMINV(RAND(),$B$4,$B$5),0)</f>
        <v>0.73610770264193581</v>
      </c>
      <c r="C525" s="1594">
        <v>513</v>
      </c>
      <c r="D525" s="1665">
        <v>2719365.4824631587</v>
      </c>
    </row>
    <row r="526" spans="2:4" ht="16">
      <c r="B526" s="1632">
        <f t="shared" ca="1" si="8"/>
        <v>1.1636905985434804</v>
      </c>
      <c r="C526" s="1594">
        <v>514</v>
      </c>
      <c r="D526" s="1665">
        <v>2719365.4824631587</v>
      </c>
    </row>
    <row r="527" spans="2:4" ht="16">
      <c r="B527" s="1632">
        <f t="shared" ca="1" si="8"/>
        <v>0.85888153665147882</v>
      </c>
      <c r="C527" s="1594">
        <v>515</v>
      </c>
      <c r="D527" s="1665">
        <v>2719365.4824631587</v>
      </c>
    </row>
    <row r="528" spans="2:4" ht="16">
      <c r="B528" s="1632">
        <f t="shared" ca="1" si="8"/>
        <v>1.1171448932050903</v>
      </c>
      <c r="C528" s="1594">
        <v>516</v>
      </c>
      <c r="D528" s="1665">
        <v>2719365.4824631587</v>
      </c>
    </row>
    <row r="529" spans="2:4" ht="16">
      <c r="B529" s="1632">
        <f t="shared" ca="1" si="8"/>
        <v>0.97641443070780787</v>
      </c>
      <c r="C529" s="1594">
        <v>517</v>
      </c>
      <c r="D529" s="1665">
        <v>2719365.4824631587</v>
      </c>
    </row>
    <row r="530" spans="2:4" ht="16">
      <c r="B530" s="1632">
        <f t="shared" ca="1" si="8"/>
        <v>0.85714175255942981</v>
      </c>
      <c r="C530" s="1594">
        <v>518</v>
      </c>
      <c r="D530" s="1665">
        <v>2719365.4824631587</v>
      </c>
    </row>
    <row r="531" spans="2:4" ht="16">
      <c r="B531" s="1632">
        <f t="shared" ca="1" si="8"/>
        <v>0.91531990460990642</v>
      </c>
      <c r="C531" s="1594">
        <v>519</v>
      </c>
      <c r="D531" s="1665">
        <v>2719365.4824631587</v>
      </c>
    </row>
    <row r="532" spans="2:4" ht="16">
      <c r="B532" s="1632">
        <f t="shared" ca="1" si="8"/>
        <v>0.98045576084460884</v>
      </c>
      <c r="C532" s="1594">
        <v>520</v>
      </c>
      <c r="D532" s="1665">
        <v>2719365.4824631587</v>
      </c>
    </row>
    <row r="533" spans="2:4" ht="16">
      <c r="B533" s="1632">
        <f t="shared" ca="1" si="8"/>
        <v>1.0511404370629192</v>
      </c>
      <c r="C533" s="1594">
        <v>521</v>
      </c>
      <c r="D533" s="1665">
        <v>2719365.4824631587</v>
      </c>
    </row>
    <row r="534" spans="2:4" ht="16">
      <c r="B534" s="1632">
        <f t="shared" ca="1" si="8"/>
        <v>1.0235130243617929</v>
      </c>
      <c r="C534" s="1594">
        <v>522</v>
      </c>
      <c r="D534" s="1665">
        <v>2719365.4824631587</v>
      </c>
    </row>
    <row r="535" spans="2:4" ht="16">
      <c r="B535" s="1632">
        <f t="shared" ca="1" si="8"/>
        <v>1.0739575022080114</v>
      </c>
      <c r="C535" s="1594">
        <v>523</v>
      </c>
      <c r="D535" s="1665">
        <v>2719365.4824631587</v>
      </c>
    </row>
    <row r="536" spans="2:4" ht="16">
      <c r="B536" s="1632">
        <f t="shared" ca="1" si="8"/>
        <v>1.1466180639947066</v>
      </c>
      <c r="C536" s="1594">
        <v>524</v>
      </c>
      <c r="D536" s="1665">
        <v>2719365.4824631587</v>
      </c>
    </row>
    <row r="537" spans="2:4" ht="16">
      <c r="B537" s="1632">
        <f t="shared" ca="1" si="8"/>
        <v>1.0203157258239239</v>
      </c>
      <c r="C537" s="1594">
        <v>525</v>
      </c>
      <c r="D537" s="1665">
        <v>2719365.4824631587</v>
      </c>
    </row>
    <row r="538" spans="2:4" ht="16">
      <c r="B538" s="1632">
        <f t="shared" ca="1" si="8"/>
        <v>0.89578041215911453</v>
      </c>
      <c r="C538" s="1594">
        <v>526</v>
      </c>
      <c r="D538" s="1665">
        <v>2719365.4824631587</v>
      </c>
    </row>
    <row r="539" spans="2:4" ht="16">
      <c r="B539" s="1632">
        <f t="shared" ca="1" si="8"/>
        <v>0.76211006040590745</v>
      </c>
      <c r="C539" s="1594">
        <v>527</v>
      </c>
      <c r="D539" s="1665">
        <v>2719365.4824631587</v>
      </c>
    </row>
    <row r="540" spans="2:4" ht="16">
      <c r="B540" s="1632">
        <f t="shared" ca="1" si="8"/>
        <v>0.85587725229862044</v>
      </c>
      <c r="C540" s="1594">
        <v>528</v>
      </c>
      <c r="D540" s="1665">
        <v>2719365.4824631587</v>
      </c>
    </row>
    <row r="541" spans="2:4" ht="16">
      <c r="B541" s="1632">
        <f t="shared" ca="1" si="8"/>
        <v>1.0488340306250219</v>
      </c>
      <c r="C541" s="1594">
        <v>529</v>
      </c>
      <c r="D541" s="1665">
        <v>2719365.4824631587</v>
      </c>
    </row>
    <row r="542" spans="2:4" ht="16">
      <c r="B542" s="1632">
        <f t="shared" ca="1" si="8"/>
        <v>1.081526390416659</v>
      </c>
      <c r="C542" s="1594">
        <v>530</v>
      </c>
      <c r="D542" s="1665">
        <v>2719365.4824631587</v>
      </c>
    </row>
    <row r="543" spans="2:4" ht="16">
      <c r="B543" s="1632">
        <f t="shared" ca="1" si="8"/>
        <v>0.97436157175611415</v>
      </c>
      <c r="C543" s="1594">
        <v>531</v>
      </c>
      <c r="D543" s="1665">
        <v>2719365.4824631587</v>
      </c>
    </row>
    <row r="544" spans="2:4" ht="16">
      <c r="B544" s="1632">
        <f t="shared" ca="1" si="8"/>
        <v>0.96684312177647169</v>
      </c>
      <c r="C544" s="1594">
        <v>532</v>
      </c>
      <c r="D544" s="1665">
        <v>2719365.4824631587</v>
      </c>
    </row>
    <row r="545" spans="2:4" ht="16">
      <c r="B545" s="1632">
        <f t="shared" ca="1" si="8"/>
        <v>0.93662908482943785</v>
      </c>
      <c r="C545" s="1594">
        <v>533</v>
      </c>
      <c r="D545" s="1665">
        <v>2719365.4824631587</v>
      </c>
    </row>
    <row r="546" spans="2:4" ht="16">
      <c r="B546" s="1632">
        <f t="shared" ca="1" si="8"/>
        <v>0.87303181410954667</v>
      </c>
      <c r="C546" s="1594">
        <v>534</v>
      </c>
      <c r="D546" s="1665">
        <v>2719365.4824631587</v>
      </c>
    </row>
    <row r="547" spans="2:4" ht="16">
      <c r="B547" s="1632">
        <f t="shared" ca="1" si="8"/>
        <v>0.92204846773362137</v>
      </c>
      <c r="C547" s="1594">
        <v>535</v>
      </c>
      <c r="D547" s="1665">
        <v>2719365.4824631587</v>
      </c>
    </row>
    <row r="548" spans="2:4" ht="16">
      <c r="B548" s="1632">
        <f t="shared" ca="1" si="8"/>
        <v>0.90084273676816096</v>
      </c>
      <c r="C548" s="1594">
        <v>536</v>
      </c>
      <c r="D548" s="1665">
        <v>2719365.4824631587</v>
      </c>
    </row>
    <row r="549" spans="2:4" ht="16">
      <c r="B549" s="1632">
        <f t="shared" ca="1" si="8"/>
        <v>1.0021874549542928</v>
      </c>
      <c r="C549" s="1594">
        <v>537</v>
      </c>
      <c r="D549" s="1665">
        <v>2719365.4824631587</v>
      </c>
    </row>
    <row r="550" spans="2:4" ht="16">
      <c r="B550" s="1632">
        <f t="shared" ca="1" si="8"/>
        <v>1.2020851739449956</v>
      </c>
      <c r="C550" s="1594">
        <v>538</v>
      </c>
      <c r="D550" s="1665">
        <v>2719365.4824631587</v>
      </c>
    </row>
    <row r="551" spans="2:4" ht="16">
      <c r="B551" s="1632">
        <f t="shared" ca="1" si="8"/>
        <v>0.83675085236449831</v>
      </c>
      <c r="C551" s="1594">
        <v>539</v>
      </c>
      <c r="D551" s="1665">
        <v>2719365.4824631587</v>
      </c>
    </row>
    <row r="552" spans="2:4" ht="16">
      <c r="B552" s="1632">
        <f t="shared" ca="1" si="8"/>
        <v>0.95245539536628421</v>
      </c>
      <c r="C552" s="1594">
        <v>540</v>
      </c>
      <c r="D552" s="1665">
        <v>2719365.4824631587</v>
      </c>
    </row>
    <row r="553" spans="2:4" ht="16">
      <c r="B553" s="1632">
        <f t="shared" ca="1" si="8"/>
        <v>1.0986289316239668</v>
      </c>
      <c r="C553" s="1594">
        <v>541</v>
      </c>
      <c r="D553" s="1665">
        <v>2719365.4824631587</v>
      </c>
    </row>
    <row r="554" spans="2:4" ht="16">
      <c r="B554" s="1632">
        <f t="shared" ca="1" si="8"/>
        <v>0.86506636656512292</v>
      </c>
      <c r="C554" s="1594">
        <v>542</v>
      </c>
      <c r="D554" s="1665">
        <v>2719365.4824631587</v>
      </c>
    </row>
    <row r="555" spans="2:4" ht="16">
      <c r="B555" s="1632">
        <f t="shared" ca="1" si="8"/>
        <v>1.1663340685036321</v>
      </c>
      <c r="C555" s="1594">
        <v>543</v>
      </c>
      <c r="D555" s="1665">
        <v>2719365.4824631587</v>
      </c>
    </row>
    <row r="556" spans="2:4" ht="16">
      <c r="B556" s="1632">
        <f t="shared" ca="1" si="8"/>
        <v>0.92739920440027379</v>
      </c>
      <c r="C556" s="1594">
        <v>544</v>
      </c>
      <c r="D556" s="1665">
        <v>2719365.4824631587</v>
      </c>
    </row>
    <row r="557" spans="2:4" ht="16">
      <c r="B557" s="1632">
        <f t="shared" ca="1" si="8"/>
        <v>1.2653935225833433</v>
      </c>
      <c r="C557" s="1594">
        <v>545</v>
      </c>
      <c r="D557" s="1665">
        <v>2719365.4824631587</v>
      </c>
    </row>
    <row r="558" spans="2:4" ht="16">
      <c r="B558" s="1632">
        <f t="shared" ca="1" si="8"/>
        <v>1.0772901911257502</v>
      </c>
      <c r="C558" s="1594">
        <v>546</v>
      </c>
      <c r="D558" s="1665">
        <v>2719365.4824631587</v>
      </c>
    </row>
    <row r="559" spans="2:4" ht="16">
      <c r="B559" s="1632">
        <f t="shared" ca="1" si="8"/>
        <v>1.0421327472036388</v>
      </c>
      <c r="C559" s="1594">
        <v>547</v>
      </c>
      <c r="D559" s="1665">
        <v>2719365.4824631587</v>
      </c>
    </row>
    <row r="560" spans="2:4" ht="16">
      <c r="B560" s="1632">
        <f t="shared" ca="1" si="8"/>
        <v>1.0832915174884443</v>
      </c>
      <c r="C560" s="1594">
        <v>548</v>
      </c>
      <c r="D560" s="1665">
        <v>2719365.4824631587</v>
      </c>
    </row>
    <row r="561" spans="2:4" ht="16">
      <c r="B561" s="1632">
        <f t="shared" ca="1" si="8"/>
        <v>0.92815526816115002</v>
      </c>
      <c r="C561" s="1594">
        <v>549</v>
      </c>
      <c r="D561" s="1665">
        <v>2719365.4824631587</v>
      </c>
    </row>
    <row r="562" spans="2:4" ht="16">
      <c r="B562" s="1632">
        <f t="shared" ca="1" si="8"/>
        <v>0.95907594450665201</v>
      </c>
      <c r="C562" s="1594">
        <v>550</v>
      </c>
      <c r="D562" s="1665">
        <v>2719365.4824631587</v>
      </c>
    </row>
    <row r="563" spans="2:4" ht="16">
      <c r="B563" s="1632">
        <f t="shared" ca="1" si="8"/>
        <v>1.1715508942123836</v>
      </c>
      <c r="C563" s="1594">
        <v>551</v>
      </c>
      <c r="D563" s="1665">
        <v>2719365.4824631587</v>
      </c>
    </row>
    <row r="564" spans="2:4" ht="16">
      <c r="B564" s="1632">
        <f t="shared" ca="1" si="8"/>
        <v>0.9702600452335024</v>
      </c>
      <c r="C564" s="1594">
        <v>552</v>
      </c>
      <c r="D564" s="1665">
        <v>2719365.4824631587</v>
      </c>
    </row>
    <row r="565" spans="2:4" ht="16">
      <c r="B565" s="1632">
        <f t="shared" ca="1" si="8"/>
        <v>0.97196884417864471</v>
      </c>
      <c r="C565" s="1594">
        <v>553</v>
      </c>
      <c r="D565" s="1665">
        <v>2719365.4824631587</v>
      </c>
    </row>
    <row r="566" spans="2:4" ht="16">
      <c r="B566" s="1632">
        <f t="shared" ca="1" si="8"/>
        <v>1.0075149869936493</v>
      </c>
      <c r="C566" s="1594">
        <v>554</v>
      </c>
      <c r="D566" s="1665">
        <v>2719365.4824631587</v>
      </c>
    </row>
    <row r="567" spans="2:4" ht="16">
      <c r="B567" s="1632">
        <f t="shared" ca="1" si="8"/>
        <v>0.8776908340005134</v>
      </c>
      <c r="C567" s="1594">
        <v>555</v>
      </c>
      <c r="D567" s="1665">
        <v>2719365.4824631587</v>
      </c>
    </row>
    <row r="568" spans="2:4" ht="16">
      <c r="B568" s="1632">
        <f t="shared" ca="1" si="8"/>
        <v>1.0706558571924101</v>
      </c>
      <c r="C568" s="1594">
        <v>556</v>
      </c>
      <c r="D568" s="1665">
        <v>2719365.4824631587</v>
      </c>
    </row>
    <row r="569" spans="2:4" ht="16">
      <c r="B569" s="1632">
        <f t="shared" ca="1" si="8"/>
        <v>1.1367351202532745</v>
      </c>
      <c r="C569" s="1594">
        <v>557</v>
      </c>
      <c r="D569" s="1665">
        <v>2719365.4824631587</v>
      </c>
    </row>
    <row r="570" spans="2:4" ht="16">
      <c r="B570" s="1632">
        <f t="shared" ca="1" si="8"/>
        <v>0.96896619857363053</v>
      </c>
      <c r="C570" s="1594">
        <v>558</v>
      </c>
      <c r="D570" s="1665">
        <v>2719365.4824631587</v>
      </c>
    </row>
    <row r="571" spans="2:4" ht="16">
      <c r="B571" s="1632">
        <f t="shared" ca="1" si="8"/>
        <v>0.95674142521774186</v>
      </c>
      <c r="C571" s="1594">
        <v>559</v>
      </c>
      <c r="D571" s="1665">
        <v>2719365.4824631587</v>
      </c>
    </row>
    <row r="572" spans="2:4" ht="16">
      <c r="B572" s="1632">
        <f t="shared" ca="1" si="8"/>
        <v>1.069687071746962</v>
      </c>
      <c r="C572" s="1594">
        <v>560</v>
      </c>
      <c r="D572" s="1665">
        <v>2719365.4824631587</v>
      </c>
    </row>
    <row r="573" spans="2:4" ht="16">
      <c r="B573" s="1632">
        <f t="shared" ca="1" si="8"/>
        <v>1.2113133652909822</v>
      </c>
      <c r="C573" s="1594">
        <v>561</v>
      </c>
      <c r="D573" s="1665">
        <v>2719365.4824631587</v>
      </c>
    </row>
    <row r="574" spans="2:4" ht="16">
      <c r="B574" s="1632">
        <f t="shared" ca="1" si="8"/>
        <v>0.97879782604209331</v>
      </c>
      <c r="C574" s="1594">
        <v>562</v>
      </c>
      <c r="D574" s="1665">
        <v>2719365.4824631587</v>
      </c>
    </row>
    <row r="575" spans="2:4" ht="16">
      <c r="B575" s="1632">
        <f t="shared" ca="1" si="8"/>
        <v>0.84872843892809802</v>
      </c>
      <c r="C575" s="1594">
        <v>563</v>
      </c>
      <c r="D575" s="1665">
        <v>2719365.4824631587</v>
      </c>
    </row>
    <row r="576" spans="2:4" ht="16">
      <c r="B576" s="1632">
        <f t="shared" ca="1" si="8"/>
        <v>0.99337886820489973</v>
      </c>
      <c r="C576" s="1594">
        <v>564</v>
      </c>
      <c r="D576" s="1665">
        <v>2719365.4824631587</v>
      </c>
    </row>
    <row r="577" spans="2:4" ht="16">
      <c r="B577" s="1632">
        <f t="shared" ca="1" si="8"/>
        <v>1.0727891335284152</v>
      </c>
      <c r="C577" s="1594">
        <v>565</v>
      </c>
      <c r="D577" s="1665">
        <v>2719365.4824631587</v>
      </c>
    </row>
    <row r="578" spans="2:4" ht="16">
      <c r="B578" s="1632">
        <f t="shared" ca="1" si="8"/>
        <v>0.97268517744019145</v>
      </c>
      <c r="C578" s="1594">
        <v>566</v>
      </c>
      <c r="D578" s="1665">
        <v>2719365.4824631587</v>
      </c>
    </row>
    <row r="579" spans="2:4" ht="16">
      <c r="B579" s="1632">
        <f t="shared" ca="1" si="8"/>
        <v>1.0920236687979186</v>
      </c>
      <c r="C579" s="1594">
        <v>567</v>
      </c>
      <c r="D579" s="1665">
        <v>2719365.4824631587</v>
      </c>
    </row>
    <row r="580" spans="2:4" ht="16">
      <c r="B580" s="1632">
        <f t="shared" ca="1" si="8"/>
        <v>1.1302657877995901</v>
      </c>
      <c r="C580" s="1594">
        <v>568</v>
      </c>
      <c r="D580" s="1665">
        <v>2719365.4824631587</v>
      </c>
    </row>
    <row r="581" spans="2:4" ht="16">
      <c r="B581" s="1632">
        <f t="shared" ca="1" si="8"/>
        <v>0.71209057800936515</v>
      </c>
      <c r="C581" s="1594">
        <v>569</v>
      </c>
      <c r="D581" s="1665">
        <v>2719365.4824631587</v>
      </c>
    </row>
    <row r="582" spans="2:4" ht="16">
      <c r="B582" s="1632">
        <f t="shared" ca="1" si="8"/>
        <v>0.94842563180043049</v>
      </c>
      <c r="C582" s="1594">
        <v>570</v>
      </c>
      <c r="D582" s="1665">
        <v>2719365.4824631587</v>
      </c>
    </row>
    <row r="583" spans="2:4" ht="16">
      <c r="B583" s="1632">
        <f t="shared" ca="1" si="8"/>
        <v>1.2418357730191396</v>
      </c>
      <c r="C583" s="1594">
        <v>571</v>
      </c>
      <c r="D583" s="1665">
        <v>2719365.4824631587</v>
      </c>
    </row>
    <row r="584" spans="2:4" ht="16">
      <c r="B584" s="1632">
        <f t="shared" ca="1" si="8"/>
        <v>1.0233462675371845</v>
      </c>
      <c r="C584" s="1594">
        <v>572</v>
      </c>
      <c r="D584" s="1665">
        <v>2719365.4824631587</v>
      </c>
    </row>
    <row r="585" spans="2:4" ht="16">
      <c r="B585" s="1632">
        <f t="shared" ca="1" si="8"/>
        <v>1.0257159782357308</v>
      </c>
      <c r="C585" s="1594">
        <v>573</v>
      </c>
      <c r="D585" s="1665">
        <v>2719365.4824631587</v>
      </c>
    </row>
    <row r="586" spans="2:4" ht="16">
      <c r="B586" s="1632">
        <f t="shared" ca="1" si="8"/>
        <v>0.78573586361929804</v>
      </c>
      <c r="C586" s="1594">
        <v>574</v>
      </c>
      <c r="D586" s="1665">
        <v>2719365.4824631587</v>
      </c>
    </row>
    <row r="587" spans="2:4" ht="16">
      <c r="B587" s="1632">
        <f t="shared" ca="1" si="8"/>
        <v>0.87139065421463435</v>
      </c>
      <c r="C587" s="1594">
        <v>575</v>
      </c>
      <c r="D587" s="1665">
        <v>2719365.4824631587</v>
      </c>
    </row>
    <row r="588" spans="2:4" ht="16">
      <c r="B588" s="1632">
        <f t="shared" ca="1" si="8"/>
        <v>0.9774351710412239</v>
      </c>
      <c r="C588" s="1594">
        <v>576</v>
      </c>
      <c r="D588" s="1665">
        <v>2719365.4824631587</v>
      </c>
    </row>
    <row r="589" spans="2:4" ht="16">
      <c r="B589" s="1632">
        <f t="shared" ref="B589:B652" ca="1" si="9">MAX(NORMINV(RAND(),$B$4,$B$5),0)</f>
        <v>0.96595347527974451</v>
      </c>
      <c r="C589" s="1594">
        <v>577</v>
      </c>
      <c r="D589" s="1665">
        <v>2719365.4824631587</v>
      </c>
    </row>
    <row r="590" spans="2:4" ht="16">
      <c r="B590" s="1632">
        <f t="shared" ca="1" si="9"/>
        <v>0.99733993402302523</v>
      </c>
      <c r="C590" s="1594">
        <v>578</v>
      </c>
      <c r="D590" s="1665">
        <v>2719365.4824631587</v>
      </c>
    </row>
    <row r="591" spans="2:4" ht="16">
      <c r="B591" s="1632">
        <f t="shared" ca="1" si="9"/>
        <v>0.91110477882934904</v>
      </c>
      <c r="C591" s="1594">
        <v>579</v>
      </c>
      <c r="D591" s="1665">
        <v>2719365.4824631587</v>
      </c>
    </row>
    <row r="592" spans="2:4" ht="16">
      <c r="B592" s="1632">
        <f t="shared" ca="1" si="9"/>
        <v>1.0120808446487444</v>
      </c>
      <c r="C592" s="1594">
        <v>580</v>
      </c>
      <c r="D592" s="1665">
        <v>2719365.4824631587</v>
      </c>
    </row>
    <row r="593" spans="2:4" ht="16">
      <c r="B593" s="1632">
        <f t="shared" ca="1" si="9"/>
        <v>0.76610467605331345</v>
      </c>
      <c r="C593" s="1594">
        <v>581</v>
      </c>
      <c r="D593" s="1665">
        <v>2719365.4824631587</v>
      </c>
    </row>
    <row r="594" spans="2:4" ht="16">
      <c r="B594" s="1632">
        <f t="shared" ca="1" si="9"/>
        <v>1.1719795727421942</v>
      </c>
      <c r="C594" s="1594">
        <v>582</v>
      </c>
      <c r="D594" s="1665">
        <v>2719365.4824631587</v>
      </c>
    </row>
    <row r="595" spans="2:4" ht="16">
      <c r="B595" s="1632">
        <f t="shared" ca="1" si="9"/>
        <v>0.75663210339071096</v>
      </c>
      <c r="C595" s="1594">
        <v>583</v>
      </c>
      <c r="D595" s="1665">
        <v>2719365.4824631587</v>
      </c>
    </row>
    <row r="596" spans="2:4" ht="16">
      <c r="B596" s="1632">
        <f t="shared" ca="1" si="9"/>
        <v>0.97910798421510092</v>
      </c>
      <c r="C596" s="1594">
        <v>584</v>
      </c>
      <c r="D596" s="1665">
        <v>2719365.4824631587</v>
      </c>
    </row>
    <row r="597" spans="2:4" ht="16">
      <c r="B597" s="1632">
        <f t="shared" ca="1" si="9"/>
        <v>1.3182563733831205</v>
      </c>
      <c r="C597" s="1594">
        <v>585</v>
      </c>
      <c r="D597" s="1665">
        <v>2719365.4824631587</v>
      </c>
    </row>
    <row r="598" spans="2:4" ht="16">
      <c r="B598" s="1632">
        <f t="shared" ca="1" si="9"/>
        <v>0.94095443437787429</v>
      </c>
      <c r="C598" s="1594">
        <v>586</v>
      </c>
      <c r="D598" s="1665">
        <v>2719365.4824631587</v>
      </c>
    </row>
    <row r="599" spans="2:4" ht="16">
      <c r="B599" s="1632">
        <f t="shared" ca="1" si="9"/>
        <v>1.2452712629128748</v>
      </c>
      <c r="C599" s="1594">
        <v>587</v>
      </c>
      <c r="D599" s="1665">
        <v>2719365.4824631587</v>
      </c>
    </row>
    <row r="600" spans="2:4" ht="16">
      <c r="B600" s="1632">
        <f t="shared" ca="1" si="9"/>
        <v>0.86315011475925885</v>
      </c>
      <c r="C600" s="1594">
        <v>588</v>
      </c>
      <c r="D600" s="1665">
        <v>2719365.4824631587</v>
      </c>
    </row>
    <row r="601" spans="2:4" ht="16">
      <c r="B601" s="1632">
        <f t="shared" ca="1" si="9"/>
        <v>0.92347964126701876</v>
      </c>
      <c r="C601" s="1594">
        <v>589</v>
      </c>
      <c r="D601" s="1665">
        <v>2719365.4824631587</v>
      </c>
    </row>
    <row r="602" spans="2:4" ht="16">
      <c r="B602" s="1632">
        <f t="shared" ca="1" si="9"/>
        <v>1.2101000976994005</v>
      </c>
      <c r="C602" s="1594">
        <v>590</v>
      </c>
      <c r="D602" s="1665">
        <v>2719365.4824631587</v>
      </c>
    </row>
    <row r="603" spans="2:4" ht="16">
      <c r="B603" s="1632">
        <f t="shared" ca="1" si="9"/>
        <v>0.96629651511146308</v>
      </c>
      <c r="C603" s="1594">
        <v>591</v>
      </c>
      <c r="D603" s="1665">
        <v>2719365.4824631587</v>
      </c>
    </row>
    <row r="604" spans="2:4" ht="16">
      <c r="B604" s="1632">
        <f t="shared" ca="1" si="9"/>
        <v>1.0705711996522156</v>
      </c>
      <c r="C604" s="1594">
        <v>592</v>
      </c>
      <c r="D604" s="1665">
        <v>2719365.4824631587</v>
      </c>
    </row>
    <row r="605" spans="2:4" ht="16">
      <c r="B605" s="1632">
        <f t="shared" ca="1" si="9"/>
        <v>1.1172976078378769</v>
      </c>
      <c r="C605" s="1594">
        <v>593</v>
      </c>
      <c r="D605" s="1665">
        <v>2719365.4824631587</v>
      </c>
    </row>
    <row r="606" spans="2:4" ht="16">
      <c r="B606" s="1632">
        <f t="shared" ca="1" si="9"/>
        <v>1.0024100252550485</v>
      </c>
      <c r="C606" s="1594">
        <v>594</v>
      </c>
      <c r="D606" s="1665">
        <v>2719365.4824631587</v>
      </c>
    </row>
    <row r="607" spans="2:4" ht="16">
      <c r="B607" s="1632">
        <f t="shared" ca="1" si="9"/>
        <v>1.1304653633713013</v>
      </c>
      <c r="C607" s="1594">
        <v>595</v>
      </c>
      <c r="D607" s="1665">
        <v>2719365.4824631587</v>
      </c>
    </row>
    <row r="608" spans="2:4" ht="16">
      <c r="B608" s="1632">
        <f t="shared" ca="1" si="9"/>
        <v>1.0436874273650012</v>
      </c>
      <c r="C608" s="1594">
        <v>596</v>
      </c>
      <c r="D608" s="1665">
        <v>2719365.4824631587</v>
      </c>
    </row>
    <row r="609" spans="2:4" ht="16">
      <c r="B609" s="1632">
        <f t="shared" ca="1" si="9"/>
        <v>0.96444219158224398</v>
      </c>
      <c r="C609" s="1594">
        <v>597</v>
      </c>
      <c r="D609" s="1665">
        <v>2719365.4824631587</v>
      </c>
    </row>
    <row r="610" spans="2:4" ht="16">
      <c r="B610" s="1632">
        <f t="shared" ca="1" si="9"/>
        <v>0.99193825711241745</v>
      </c>
      <c r="C610" s="1594">
        <v>598</v>
      </c>
      <c r="D610" s="1665">
        <v>2719365.4824631587</v>
      </c>
    </row>
    <row r="611" spans="2:4" ht="16">
      <c r="B611" s="1632">
        <f t="shared" ca="1" si="9"/>
        <v>1.0378143161485203</v>
      </c>
      <c r="C611" s="1594">
        <v>599</v>
      </c>
      <c r="D611" s="1665">
        <v>2719365.4824631587</v>
      </c>
    </row>
    <row r="612" spans="2:4" ht="16">
      <c r="B612" s="1632">
        <f t="shared" ca="1" si="9"/>
        <v>1.0055394370806356</v>
      </c>
      <c r="C612" s="1594">
        <v>600</v>
      </c>
      <c r="D612" s="1665">
        <v>2719365.4824631587</v>
      </c>
    </row>
    <row r="613" spans="2:4" ht="16">
      <c r="B613" s="1632">
        <f t="shared" ca="1" si="9"/>
        <v>0.95240925278030319</v>
      </c>
      <c r="C613" s="1594">
        <v>601</v>
      </c>
      <c r="D613" s="1665">
        <v>2719365.4824631587</v>
      </c>
    </row>
    <row r="614" spans="2:4" ht="16">
      <c r="B614" s="1632">
        <f t="shared" ca="1" si="9"/>
        <v>1.0034947647724999</v>
      </c>
      <c r="C614" s="1594">
        <v>602</v>
      </c>
      <c r="D614" s="1665">
        <v>2719365.4824631587</v>
      </c>
    </row>
    <row r="615" spans="2:4" ht="16">
      <c r="B615" s="1632">
        <f t="shared" ca="1" si="9"/>
        <v>0.88262383265227184</v>
      </c>
      <c r="C615" s="1594">
        <v>603</v>
      </c>
      <c r="D615" s="1665">
        <v>2719365.4824631587</v>
      </c>
    </row>
    <row r="616" spans="2:4" ht="16">
      <c r="B616" s="1632">
        <f t="shared" ca="1" si="9"/>
        <v>1.0871848220445508</v>
      </c>
      <c r="C616" s="1594">
        <v>604</v>
      </c>
      <c r="D616" s="1665">
        <v>2719365.4824631587</v>
      </c>
    </row>
    <row r="617" spans="2:4" ht="16">
      <c r="B617" s="1632">
        <f t="shared" ca="1" si="9"/>
        <v>1.0469841027969553</v>
      </c>
      <c r="C617" s="1594">
        <v>605</v>
      </c>
      <c r="D617" s="1665">
        <v>2719365.4824631587</v>
      </c>
    </row>
    <row r="618" spans="2:4" ht="16">
      <c r="B618" s="1632">
        <f t="shared" ca="1" si="9"/>
        <v>1.187472086258307</v>
      </c>
      <c r="C618" s="1594">
        <v>606</v>
      </c>
      <c r="D618" s="1665">
        <v>2719365.4824631587</v>
      </c>
    </row>
    <row r="619" spans="2:4" ht="16">
      <c r="B619" s="1632">
        <f t="shared" ca="1" si="9"/>
        <v>0.85629841376323568</v>
      </c>
      <c r="C619" s="1594">
        <v>607</v>
      </c>
      <c r="D619" s="1665">
        <v>2719365.4824631587</v>
      </c>
    </row>
    <row r="620" spans="2:4" ht="16">
      <c r="B620" s="1632">
        <f t="shared" ca="1" si="9"/>
        <v>1.0765834315369123</v>
      </c>
      <c r="C620" s="1594">
        <v>608</v>
      </c>
      <c r="D620" s="1665">
        <v>2719365.4824631587</v>
      </c>
    </row>
    <row r="621" spans="2:4" ht="16">
      <c r="B621" s="1632">
        <f t="shared" ca="1" si="9"/>
        <v>0.62889916629717457</v>
      </c>
      <c r="C621" s="1594">
        <v>609</v>
      </c>
      <c r="D621" s="1665">
        <v>2719365.4824631587</v>
      </c>
    </row>
    <row r="622" spans="2:4" ht="16">
      <c r="B622" s="1632">
        <f t="shared" ca="1" si="9"/>
        <v>0.96371784727706122</v>
      </c>
      <c r="C622" s="1594">
        <v>610</v>
      </c>
      <c r="D622" s="1665">
        <v>2719365.4824631587</v>
      </c>
    </row>
    <row r="623" spans="2:4" ht="16">
      <c r="B623" s="1632">
        <f t="shared" ca="1" si="9"/>
        <v>1.0745532002875451</v>
      </c>
      <c r="C623" s="1594">
        <v>611</v>
      </c>
      <c r="D623" s="1665">
        <v>2719365.4824631587</v>
      </c>
    </row>
    <row r="624" spans="2:4" ht="16">
      <c r="B624" s="1632">
        <f t="shared" ca="1" si="9"/>
        <v>0.73148871880706567</v>
      </c>
      <c r="C624" s="1594">
        <v>612</v>
      </c>
      <c r="D624" s="1665">
        <v>2719365.4824631587</v>
      </c>
    </row>
    <row r="625" spans="2:4" ht="16">
      <c r="B625" s="1632">
        <f t="shared" ca="1" si="9"/>
        <v>1.1939339485869498</v>
      </c>
      <c r="C625" s="1594">
        <v>613</v>
      </c>
      <c r="D625" s="1665">
        <v>2719365.4824631587</v>
      </c>
    </row>
    <row r="626" spans="2:4" ht="16">
      <c r="B626" s="1632">
        <f t="shared" ca="1" si="9"/>
        <v>0.85770719499124093</v>
      </c>
      <c r="C626" s="1594">
        <v>614</v>
      </c>
      <c r="D626" s="1665">
        <v>2719365.4824631587</v>
      </c>
    </row>
    <row r="627" spans="2:4" ht="16">
      <c r="B627" s="1632">
        <f t="shared" ca="1" si="9"/>
        <v>0.85690830804000206</v>
      </c>
      <c r="C627" s="1594">
        <v>615</v>
      </c>
      <c r="D627" s="1665">
        <v>2719365.4824631587</v>
      </c>
    </row>
    <row r="628" spans="2:4" ht="16">
      <c r="B628" s="1632">
        <f t="shared" ca="1" si="9"/>
        <v>1.0783783567662928</v>
      </c>
      <c r="C628" s="1594">
        <v>616</v>
      </c>
      <c r="D628" s="1665">
        <v>2719365.4824631587</v>
      </c>
    </row>
    <row r="629" spans="2:4" ht="16">
      <c r="B629" s="1632">
        <f t="shared" ca="1" si="9"/>
        <v>1.1329553928486547</v>
      </c>
      <c r="C629" s="1594">
        <v>617</v>
      </c>
      <c r="D629" s="1665">
        <v>2719365.4824631587</v>
      </c>
    </row>
    <row r="630" spans="2:4" ht="16">
      <c r="B630" s="1632">
        <f t="shared" ca="1" si="9"/>
        <v>0.91166877128429136</v>
      </c>
      <c r="C630" s="1594">
        <v>618</v>
      </c>
      <c r="D630" s="1665">
        <v>2719365.4824631587</v>
      </c>
    </row>
    <row r="631" spans="2:4" ht="16">
      <c r="B631" s="1632">
        <f t="shared" ca="1" si="9"/>
        <v>0.990805057227372</v>
      </c>
      <c r="C631" s="1594">
        <v>619</v>
      </c>
      <c r="D631" s="1665">
        <v>2719365.4824631587</v>
      </c>
    </row>
    <row r="632" spans="2:4" ht="16">
      <c r="B632" s="1632">
        <f t="shared" ca="1" si="9"/>
        <v>0.99975281511960046</v>
      </c>
      <c r="C632" s="1594">
        <v>620</v>
      </c>
      <c r="D632" s="1665">
        <v>2719365.4824631587</v>
      </c>
    </row>
    <row r="633" spans="2:4" ht="16">
      <c r="B633" s="1632">
        <f t="shared" ca="1" si="9"/>
        <v>0.64935950239090245</v>
      </c>
      <c r="C633" s="1594">
        <v>621</v>
      </c>
      <c r="D633" s="1665">
        <v>2719365.4824631587</v>
      </c>
    </row>
    <row r="634" spans="2:4" ht="16">
      <c r="B634" s="1632">
        <f t="shared" ca="1" si="9"/>
        <v>0.96644318128690809</v>
      </c>
      <c r="C634" s="1594">
        <v>622</v>
      </c>
      <c r="D634" s="1665">
        <v>2719365.4824631587</v>
      </c>
    </row>
    <row r="635" spans="2:4" ht="16">
      <c r="B635" s="1632">
        <f t="shared" ca="1" si="9"/>
        <v>0.96617829212360051</v>
      </c>
      <c r="C635" s="1594">
        <v>623</v>
      </c>
      <c r="D635" s="1665">
        <v>2719365.4824631587</v>
      </c>
    </row>
    <row r="636" spans="2:4" ht="16">
      <c r="B636" s="1632">
        <f t="shared" ca="1" si="9"/>
        <v>1.1882274863325111</v>
      </c>
      <c r="C636" s="1594">
        <v>624</v>
      </c>
      <c r="D636" s="1665">
        <v>2719365.4824631587</v>
      </c>
    </row>
    <row r="637" spans="2:4" ht="16">
      <c r="B637" s="1632">
        <f t="shared" ca="1" si="9"/>
        <v>0.74952991430161342</v>
      </c>
      <c r="C637" s="1594">
        <v>625</v>
      </c>
      <c r="D637" s="1665">
        <v>2719365.4824631587</v>
      </c>
    </row>
    <row r="638" spans="2:4" ht="16">
      <c r="B638" s="1632">
        <f t="shared" ca="1" si="9"/>
        <v>0.96655904976577223</v>
      </c>
      <c r="C638" s="1594">
        <v>626</v>
      </c>
      <c r="D638" s="1665">
        <v>2719365.4824631587</v>
      </c>
    </row>
    <row r="639" spans="2:4" ht="16">
      <c r="B639" s="1632">
        <f t="shared" ca="1" si="9"/>
        <v>0.92912562156251977</v>
      </c>
      <c r="C639" s="1594">
        <v>627</v>
      </c>
      <c r="D639" s="1665">
        <v>2719365.4824631587</v>
      </c>
    </row>
    <row r="640" spans="2:4" ht="16">
      <c r="B640" s="1632">
        <f t="shared" ca="1" si="9"/>
        <v>0.89058236741349805</v>
      </c>
      <c r="C640" s="1594">
        <v>628</v>
      </c>
      <c r="D640" s="1665">
        <v>2719365.4824631587</v>
      </c>
    </row>
    <row r="641" spans="2:4" ht="16">
      <c r="B641" s="1632">
        <f t="shared" ca="1" si="9"/>
        <v>0.86662636145381544</v>
      </c>
      <c r="C641" s="1594">
        <v>629</v>
      </c>
      <c r="D641" s="1665">
        <v>2719365.4824631587</v>
      </c>
    </row>
    <row r="642" spans="2:4" ht="16">
      <c r="B642" s="1632">
        <f t="shared" ca="1" si="9"/>
        <v>0.92501099500365425</v>
      </c>
      <c r="C642" s="1594">
        <v>630</v>
      </c>
      <c r="D642" s="1665">
        <v>2719365.4824631587</v>
      </c>
    </row>
    <row r="643" spans="2:4" ht="16">
      <c r="B643" s="1632">
        <f t="shared" ca="1" si="9"/>
        <v>1.0137711172042736</v>
      </c>
      <c r="C643" s="1594">
        <v>631</v>
      </c>
      <c r="D643" s="1665">
        <v>2719365.4824631587</v>
      </c>
    </row>
    <row r="644" spans="2:4" ht="16">
      <c r="B644" s="1632">
        <f t="shared" ca="1" si="9"/>
        <v>1.0104158396445124</v>
      </c>
      <c r="C644" s="1594">
        <v>632</v>
      </c>
      <c r="D644" s="1665">
        <v>2719365.4824631587</v>
      </c>
    </row>
    <row r="645" spans="2:4" ht="16">
      <c r="B645" s="1632">
        <f t="shared" ca="1" si="9"/>
        <v>0.97997662999389601</v>
      </c>
      <c r="C645" s="1594">
        <v>633</v>
      </c>
      <c r="D645" s="1665">
        <v>2719365.4824631587</v>
      </c>
    </row>
    <row r="646" spans="2:4" ht="16">
      <c r="B646" s="1632">
        <f t="shared" ca="1" si="9"/>
        <v>0.9481391298663665</v>
      </c>
      <c r="C646" s="1594">
        <v>634</v>
      </c>
      <c r="D646" s="1665">
        <v>2719365.4824631587</v>
      </c>
    </row>
    <row r="647" spans="2:4" ht="16">
      <c r="B647" s="1632">
        <f t="shared" ca="1" si="9"/>
        <v>0.98418392954330591</v>
      </c>
      <c r="C647" s="1594">
        <v>635</v>
      </c>
      <c r="D647" s="1665">
        <v>2719365.4824631587</v>
      </c>
    </row>
    <row r="648" spans="2:4" ht="16">
      <c r="B648" s="1632">
        <f t="shared" ca="1" si="9"/>
        <v>0.95028631172203404</v>
      </c>
      <c r="C648" s="1594">
        <v>636</v>
      </c>
      <c r="D648" s="1665">
        <v>2719365.4824631587</v>
      </c>
    </row>
    <row r="649" spans="2:4" ht="16">
      <c r="B649" s="1632">
        <f t="shared" ca="1" si="9"/>
        <v>0.92323321061505592</v>
      </c>
      <c r="C649" s="1594">
        <v>637</v>
      </c>
      <c r="D649" s="1665">
        <v>2719365.4824631587</v>
      </c>
    </row>
    <row r="650" spans="2:4" ht="16">
      <c r="B650" s="1632">
        <f t="shared" ca="1" si="9"/>
        <v>0.96683265015150299</v>
      </c>
      <c r="C650" s="1594">
        <v>638</v>
      </c>
      <c r="D650" s="1665">
        <v>2719365.4824631587</v>
      </c>
    </row>
    <row r="651" spans="2:4" ht="16">
      <c r="B651" s="1632">
        <f t="shared" ca="1" si="9"/>
        <v>0.93126923041358722</v>
      </c>
      <c r="C651" s="1594">
        <v>639</v>
      </c>
      <c r="D651" s="1665">
        <v>2719365.4824631587</v>
      </c>
    </row>
    <row r="652" spans="2:4" ht="16">
      <c r="B652" s="1632">
        <f t="shared" ca="1" si="9"/>
        <v>0.96831525036980881</v>
      </c>
      <c r="C652" s="1594">
        <v>640</v>
      </c>
      <c r="D652" s="1665">
        <v>2719365.4824631587</v>
      </c>
    </row>
    <row r="653" spans="2:4" ht="16">
      <c r="B653" s="1632">
        <f t="shared" ref="B653:B716" ca="1" si="10">MAX(NORMINV(RAND(),$B$4,$B$5),0)</f>
        <v>0.67678971315792558</v>
      </c>
      <c r="C653" s="1594">
        <v>641</v>
      </c>
      <c r="D653" s="1665">
        <v>2719365.4824631587</v>
      </c>
    </row>
    <row r="654" spans="2:4" ht="16">
      <c r="B654" s="1632">
        <f t="shared" ca="1" si="10"/>
        <v>1.0449646496479719</v>
      </c>
      <c r="C654" s="1594">
        <v>642</v>
      </c>
      <c r="D654" s="1665">
        <v>2719365.4824631587</v>
      </c>
    </row>
    <row r="655" spans="2:4" ht="16">
      <c r="B655" s="1632">
        <f t="shared" ca="1" si="10"/>
        <v>1.0408506787263976</v>
      </c>
      <c r="C655" s="1594">
        <v>643</v>
      </c>
      <c r="D655" s="1665">
        <v>2719365.4824631587</v>
      </c>
    </row>
    <row r="656" spans="2:4" ht="16">
      <c r="B656" s="1632">
        <f t="shared" ca="1" si="10"/>
        <v>0.93226771198185143</v>
      </c>
      <c r="C656" s="1594">
        <v>644</v>
      </c>
      <c r="D656" s="1665">
        <v>2719365.4824631587</v>
      </c>
    </row>
    <row r="657" spans="2:4" ht="16">
      <c r="B657" s="1632">
        <f t="shared" ca="1" si="10"/>
        <v>0.97463541333103176</v>
      </c>
      <c r="C657" s="1594">
        <v>645</v>
      </c>
      <c r="D657" s="1665">
        <v>2719365.4824631587</v>
      </c>
    </row>
    <row r="658" spans="2:4" ht="16">
      <c r="B658" s="1632">
        <f t="shared" ca="1" si="10"/>
        <v>0.98912061471428625</v>
      </c>
      <c r="C658" s="1594">
        <v>646</v>
      </c>
      <c r="D658" s="1665">
        <v>2719365.4824631587</v>
      </c>
    </row>
    <row r="659" spans="2:4" ht="16">
      <c r="B659" s="1632">
        <f t="shared" ca="1" si="10"/>
        <v>1.0895385939685998</v>
      </c>
      <c r="C659" s="1594">
        <v>647</v>
      </c>
      <c r="D659" s="1665">
        <v>2719365.4824631587</v>
      </c>
    </row>
    <row r="660" spans="2:4" ht="16">
      <c r="B660" s="1632">
        <f t="shared" ca="1" si="10"/>
        <v>0.9720691052839876</v>
      </c>
      <c r="C660" s="1594">
        <v>648</v>
      </c>
      <c r="D660" s="1665">
        <v>2719365.4824631587</v>
      </c>
    </row>
    <row r="661" spans="2:4" ht="16">
      <c r="B661" s="1632">
        <f t="shared" ca="1" si="10"/>
        <v>0.91540761190050068</v>
      </c>
      <c r="C661" s="1594">
        <v>649</v>
      </c>
      <c r="D661" s="1665">
        <v>2719365.4824631587</v>
      </c>
    </row>
    <row r="662" spans="2:4" ht="16">
      <c r="B662" s="1632">
        <f t="shared" ca="1" si="10"/>
        <v>1.150237286032366</v>
      </c>
      <c r="C662" s="1594">
        <v>650</v>
      </c>
      <c r="D662" s="1665">
        <v>2719365.4824631587</v>
      </c>
    </row>
    <row r="663" spans="2:4" ht="16">
      <c r="B663" s="1632">
        <f t="shared" ca="1" si="10"/>
        <v>0.97764138233059694</v>
      </c>
      <c r="C663" s="1594">
        <v>651</v>
      </c>
      <c r="D663" s="1665">
        <v>2719365.4824631587</v>
      </c>
    </row>
    <row r="664" spans="2:4" ht="16">
      <c r="B664" s="1632">
        <f t="shared" ca="1" si="10"/>
        <v>0.644034509995004</v>
      </c>
      <c r="C664" s="1594">
        <v>652</v>
      </c>
      <c r="D664" s="1665">
        <v>2719365.4824631587</v>
      </c>
    </row>
    <row r="665" spans="2:4" ht="16">
      <c r="B665" s="1632">
        <f t="shared" ca="1" si="10"/>
        <v>0.83589310252854365</v>
      </c>
      <c r="C665" s="1594">
        <v>653</v>
      </c>
      <c r="D665" s="1665">
        <v>2719365.4824631587</v>
      </c>
    </row>
    <row r="666" spans="2:4" ht="16">
      <c r="B666" s="1632">
        <f t="shared" ca="1" si="10"/>
        <v>0.91713315519929794</v>
      </c>
      <c r="C666" s="1594">
        <v>654</v>
      </c>
      <c r="D666" s="1665">
        <v>2719365.4824631587</v>
      </c>
    </row>
    <row r="667" spans="2:4" ht="16">
      <c r="B667" s="1632">
        <f t="shared" ca="1" si="10"/>
        <v>1.0051529794572922</v>
      </c>
      <c r="C667" s="1594">
        <v>655</v>
      </c>
      <c r="D667" s="1665">
        <v>2719365.4824631587</v>
      </c>
    </row>
    <row r="668" spans="2:4" ht="16">
      <c r="B668" s="1632">
        <f t="shared" ca="1" si="10"/>
        <v>1.0461902468309976</v>
      </c>
      <c r="C668" s="1594">
        <v>656</v>
      </c>
      <c r="D668" s="1665">
        <v>2719365.4824631587</v>
      </c>
    </row>
    <row r="669" spans="2:4" ht="16">
      <c r="B669" s="1632">
        <f t="shared" ca="1" si="10"/>
        <v>1.2515912569726808</v>
      </c>
      <c r="C669" s="1594">
        <v>657</v>
      </c>
      <c r="D669" s="1665">
        <v>2719365.4824631587</v>
      </c>
    </row>
    <row r="670" spans="2:4" ht="16">
      <c r="B670" s="1632">
        <f t="shared" ca="1" si="10"/>
        <v>0.84563752213633359</v>
      </c>
      <c r="C670" s="1594">
        <v>658</v>
      </c>
      <c r="D670" s="1665">
        <v>2719365.4824631587</v>
      </c>
    </row>
    <row r="671" spans="2:4" ht="16">
      <c r="B671" s="1632">
        <f t="shared" ca="1" si="10"/>
        <v>0.91839242130599952</v>
      </c>
      <c r="C671" s="1594">
        <v>659</v>
      </c>
      <c r="D671" s="1665">
        <v>2719365.4824631587</v>
      </c>
    </row>
    <row r="672" spans="2:4" ht="16">
      <c r="B672" s="1632">
        <f t="shared" ca="1" si="10"/>
        <v>0.94236266589975115</v>
      </c>
      <c r="C672" s="1594">
        <v>660</v>
      </c>
      <c r="D672" s="1665">
        <v>2719365.4824631587</v>
      </c>
    </row>
    <row r="673" spans="2:4" ht="16">
      <c r="B673" s="1632">
        <f t="shared" ca="1" si="10"/>
        <v>0.76593050933950479</v>
      </c>
      <c r="C673" s="1594">
        <v>661</v>
      </c>
      <c r="D673" s="1665">
        <v>2719365.4824631587</v>
      </c>
    </row>
    <row r="674" spans="2:4" ht="16">
      <c r="B674" s="1632">
        <f t="shared" ca="1" si="10"/>
        <v>0.71789869904113046</v>
      </c>
      <c r="C674" s="1594">
        <v>662</v>
      </c>
      <c r="D674" s="1665">
        <v>2719365.4824631587</v>
      </c>
    </row>
    <row r="675" spans="2:4" ht="16">
      <c r="B675" s="1632">
        <f t="shared" ca="1" si="10"/>
        <v>0.98676689083545532</v>
      </c>
      <c r="C675" s="1594">
        <v>663</v>
      </c>
      <c r="D675" s="1665">
        <v>2719365.4824631587</v>
      </c>
    </row>
    <row r="676" spans="2:4" ht="16">
      <c r="B676" s="1632">
        <f t="shared" ca="1" si="10"/>
        <v>1.0825156795277058</v>
      </c>
      <c r="C676" s="1594">
        <v>664</v>
      </c>
      <c r="D676" s="1665">
        <v>2719365.4824631587</v>
      </c>
    </row>
    <row r="677" spans="2:4" ht="16">
      <c r="B677" s="1632">
        <f t="shared" ca="1" si="10"/>
        <v>1.1046092456903798</v>
      </c>
      <c r="C677" s="1594">
        <v>665</v>
      </c>
      <c r="D677" s="1665">
        <v>2719365.4824631587</v>
      </c>
    </row>
    <row r="678" spans="2:4" ht="16">
      <c r="B678" s="1632">
        <f t="shared" ca="1" si="10"/>
        <v>1.0855433561058541</v>
      </c>
      <c r="C678" s="1594">
        <v>666</v>
      </c>
      <c r="D678" s="1665">
        <v>2719365.4824631587</v>
      </c>
    </row>
    <row r="679" spans="2:4" ht="16">
      <c r="B679" s="1632">
        <f t="shared" ca="1" si="10"/>
        <v>0.97628463884142147</v>
      </c>
      <c r="C679" s="1594">
        <v>667</v>
      </c>
      <c r="D679" s="1665">
        <v>2719365.4824631587</v>
      </c>
    </row>
    <row r="680" spans="2:4" ht="16">
      <c r="B680" s="1632">
        <f t="shared" ca="1" si="10"/>
        <v>0.86259406575977993</v>
      </c>
      <c r="C680" s="1594">
        <v>668</v>
      </c>
      <c r="D680" s="1665">
        <v>2719365.4824631587</v>
      </c>
    </row>
    <row r="681" spans="2:4" ht="16">
      <c r="B681" s="1632">
        <f t="shared" ca="1" si="10"/>
        <v>1.033318365902401</v>
      </c>
      <c r="C681" s="1594">
        <v>669</v>
      </c>
      <c r="D681" s="1665">
        <v>2719365.4824631587</v>
      </c>
    </row>
    <row r="682" spans="2:4" ht="16">
      <c r="B682" s="1632">
        <f t="shared" ca="1" si="10"/>
        <v>1.0169423983637569</v>
      </c>
      <c r="C682" s="1594">
        <v>670</v>
      </c>
      <c r="D682" s="1665">
        <v>2719365.4824631587</v>
      </c>
    </row>
    <row r="683" spans="2:4" ht="16">
      <c r="B683" s="1632">
        <f t="shared" ca="1" si="10"/>
        <v>1.0725784589052041</v>
      </c>
      <c r="C683" s="1594">
        <v>671</v>
      </c>
      <c r="D683" s="1665">
        <v>2719365.4824631587</v>
      </c>
    </row>
    <row r="684" spans="2:4" ht="16">
      <c r="B684" s="1632">
        <f t="shared" ca="1" si="10"/>
        <v>0.95375471030877057</v>
      </c>
      <c r="C684" s="1594">
        <v>672</v>
      </c>
      <c r="D684" s="1665">
        <v>2719365.4824631587</v>
      </c>
    </row>
    <row r="685" spans="2:4" ht="16">
      <c r="B685" s="1632">
        <f t="shared" ca="1" si="10"/>
        <v>1.1142611008104313</v>
      </c>
      <c r="C685" s="1594">
        <v>673</v>
      </c>
      <c r="D685" s="1665">
        <v>2719365.4824631587</v>
      </c>
    </row>
    <row r="686" spans="2:4" ht="16">
      <c r="B686" s="1632">
        <f t="shared" ca="1" si="10"/>
        <v>1.2476944652197852</v>
      </c>
      <c r="C686" s="1594">
        <v>674</v>
      </c>
      <c r="D686" s="1665">
        <v>2719365.4824631587</v>
      </c>
    </row>
    <row r="687" spans="2:4" ht="16">
      <c r="B687" s="1632">
        <f t="shared" ca="1" si="10"/>
        <v>1.0220853281803555</v>
      </c>
      <c r="C687" s="1594">
        <v>675</v>
      </c>
      <c r="D687" s="1665">
        <v>2719365.4824631587</v>
      </c>
    </row>
    <row r="688" spans="2:4" ht="16">
      <c r="B688" s="1632">
        <f t="shared" ca="1" si="10"/>
        <v>0.72268968491745333</v>
      </c>
      <c r="C688" s="1594">
        <v>676</v>
      </c>
      <c r="D688" s="1665">
        <v>2719365.4824631587</v>
      </c>
    </row>
    <row r="689" spans="2:4" ht="16">
      <c r="B689" s="1632">
        <f t="shared" ca="1" si="10"/>
        <v>0.98699518153354715</v>
      </c>
      <c r="C689" s="1594">
        <v>677</v>
      </c>
      <c r="D689" s="1665">
        <v>2719365.4824631587</v>
      </c>
    </row>
    <row r="690" spans="2:4" ht="16">
      <c r="B690" s="1632">
        <f t="shared" ca="1" si="10"/>
        <v>1.0686861940150023</v>
      </c>
      <c r="C690" s="1594">
        <v>678</v>
      </c>
      <c r="D690" s="1665">
        <v>2719365.4824631587</v>
      </c>
    </row>
    <row r="691" spans="2:4" ht="16">
      <c r="B691" s="1632">
        <f t="shared" ca="1" si="10"/>
        <v>1.0421365371812814</v>
      </c>
      <c r="C691" s="1594">
        <v>679</v>
      </c>
      <c r="D691" s="1665">
        <v>2719365.4824631587</v>
      </c>
    </row>
    <row r="692" spans="2:4" ht="16">
      <c r="B692" s="1632">
        <f t="shared" ca="1" si="10"/>
        <v>1.0831509051650587</v>
      </c>
      <c r="C692" s="1594">
        <v>680</v>
      </c>
      <c r="D692" s="1665">
        <v>2719365.4824631587</v>
      </c>
    </row>
    <row r="693" spans="2:4" ht="16">
      <c r="B693" s="1632">
        <f t="shared" ca="1" si="10"/>
        <v>1.0579953338853163</v>
      </c>
      <c r="C693" s="1594">
        <v>681</v>
      </c>
      <c r="D693" s="1665">
        <v>2719365.4824631587</v>
      </c>
    </row>
    <row r="694" spans="2:4" ht="16">
      <c r="B694" s="1632">
        <f t="shared" ca="1" si="10"/>
        <v>0.97573621032476754</v>
      </c>
      <c r="C694" s="1594">
        <v>682</v>
      </c>
      <c r="D694" s="1665">
        <v>2719365.4824631587</v>
      </c>
    </row>
    <row r="695" spans="2:4" ht="16">
      <c r="B695" s="1632">
        <f t="shared" ca="1" si="10"/>
        <v>1.1539347643976048</v>
      </c>
      <c r="C695" s="1594">
        <v>683</v>
      </c>
      <c r="D695" s="1665">
        <v>2719365.4824631587</v>
      </c>
    </row>
    <row r="696" spans="2:4" ht="16">
      <c r="B696" s="1632">
        <f t="shared" ca="1" si="10"/>
        <v>0.95034285481950187</v>
      </c>
      <c r="C696" s="1594">
        <v>684</v>
      </c>
      <c r="D696" s="1665">
        <v>2719365.4824631587</v>
      </c>
    </row>
    <row r="697" spans="2:4" ht="16">
      <c r="B697" s="1632">
        <f t="shared" ca="1" si="10"/>
        <v>0.86739422510449182</v>
      </c>
      <c r="C697" s="1594">
        <v>685</v>
      </c>
      <c r="D697" s="1665">
        <v>2719365.4824631587</v>
      </c>
    </row>
    <row r="698" spans="2:4" ht="16">
      <c r="B698" s="1632">
        <f t="shared" ca="1" si="10"/>
        <v>1.0219097524227154</v>
      </c>
      <c r="C698" s="1594">
        <v>686</v>
      </c>
      <c r="D698" s="1665">
        <v>2719365.4824631587</v>
      </c>
    </row>
    <row r="699" spans="2:4" ht="16">
      <c r="B699" s="1632">
        <f t="shared" ca="1" si="10"/>
        <v>1.1182845584798538</v>
      </c>
      <c r="C699" s="1594">
        <v>687</v>
      </c>
      <c r="D699" s="1665">
        <v>2719365.4824631587</v>
      </c>
    </row>
    <row r="700" spans="2:4" ht="16">
      <c r="B700" s="1632">
        <f t="shared" ca="1" si="10"/>
        <v>1.1121038472860789</v>
      </c>
      <c r="C700" s="1594">
        <v>688</v>
      </c>
      <c r="D700" s="1665">
        <v>2719365.4824631587</v>
      </c>
    </row>
    <row r="701" spans="2:4" ht="16">
      <c r="B701" s="1632">
        <f t="shared" ca="1" si="10"/>
        <v>0.95840625659875256</v>
      </c>
      <c r="C701" s="1594">
        <v>689</v>
      </c>
      <c r="D701" s="1665">
        <v>2719365.4824631587</v>
      </c>
    </row>
    <row r="702" spans="2:4" ht="16">
      <c r="B702" s="1632">
        <f t="shared" ca="1" si="10"/>
        <v>0.91428601140834875</v>
      </c>
      <c r="C702" s="1594">
        <v>690</v>
      </c>
      <c r="D702" s="1665">
        <v>2719365.4824631587</v>
      </c>
    </row>
    <row r="703" spans="2:4" ht="16">
      <c r="B703" s="1632">
        <f t="shared" ca="1" si="10"/>
        <v>0.90003080703062044</v>
      </c>
      <c r="C703" s="1594">
        <v>691</v>
      </c>
      <c r="D703" s="1665">
        <v>2719365.4824631587</v>
      </c>
    </row>
    <row r="704" spans="2:4" ht="16">
      <c r="B704" s="1632">
        <f t="shared" ca="1" si="10"/>
        <v>0.95840858679996621</v>
      </c>
      <c r="C704" s="1594">
        <v>692</v>
      </c>
      <c r="D704" s="1665">
        <v>2719365.4824631587</v>
      </c>
    </row>
    <row r="705" spans="2:4" ht="16">
      <c r="B705" s="1632">
        <f t="shared" ca="1" si="10"/>
        <v>0.89637197492661269</v>
      </c>
      <c r="C705" s="1594">
        <v>693</v>
      </c>
      <c r="D705" s="1665">
        <v>2719365.4824631587</v>
      </c>
    </row>
    <row r="706" spans="2:4" ht="16">
      <c r="B706" s="1632">
        <f t="shared" ca="1" si="10"/>
        <v>0.98371664065244091</v>
      </c>
      <c r="C706" s="1594">
        <v>694</v>
      </c>
      <c r="D706" s="1665">
        <v>2719365.4824631587</v>
      </c>
    </row>
    <row r="707" spans="2:4" ht="16">
      <c r="B707" s="1632">
        <f t="shared" ca="1" si="10"/>
        <v>1.1623199838083682</v>
      </c>
      <c r="C707" s="1594">
        <v>695</v>
      </c>
      <c r="D707" s="1665">
        <v>2719365.4824631587</v>
      </c>
    </row>
    <row r="708" spans="2:4" ht="16">
      <c r="B708" s="1632">
        <f t="shared" ca="1" si="10"/>
        <v>0.82845173734720623</v>
      </c>
      <c r="C708" s="1594">
        <v>696</v>
      </c>
      <c r="D708" s="1665">
        <v>2719365.4824631587</v>
      </c>
    </row>
    <row r="709" spans="2:4" ht="16">
      <c r="B709" s="1632">
        <f t="shared" ca="1" si="10"/>
        <v>1.2389338803857999</v>
      </c>
      <c r="C709" s="1594">
        <v>697</v>
      </c>
      <c r="D709" s="1665">
        <v>2719365.4824631587</v>
      </c>
    </row>
    <row r="710" spans="2:4" ht="16">
      <c r="B710" s="1632">
        <f t="shared" ca="1" si="10"/>
        <v>1.1287008650128905</v>
      </c>
      <c r="C710" s="1594">
        <v>698</v>
      </c>
      <c r="D710" s="1665">
        <v>2719365.4824631587</v>
      </c>
    </row>
    <row r="711" spans="2:4" ht="16">
      <c r="B711" s="1632">
        <f t="shared" ca="1" si="10"/>
        <v>0.98390023125686576</v>
      </c>
      <c r="C711" s="1594">
        <v>699</v>
      </c>
      <c r="D711" s="1665">
        <v>2719365.4824631587</v>
      </c>
    </row>
    <row r="712" spans="2:4" ht="16">
      <c r="B712" s="1632">
        <f t="shared" ca="1" si="10"/>
        <v>1.2678371095658854</v>
      </c>
      <c r="C712" s="1594">
        <v>700</v>
      </c>
      <c r="D712" s="1665">
        <v>2719365.4824631587</v>
      </c>
    </row>
    <row r="713" spans="2:4" ht="16">
      <c r="B713" s="1632">
        <f t="shared" ca="1" si="10"/>
        <v>1.0138346855129567</v>
      </c>
      <c r="C713" s="1594">
        <v>701</v>
      </c>
      <c r="D713" s="1665">
        <v>2719365.4824631587</v>
      </c>
    </row>
    <row r="714" spans="2:4" ht="16">
      <c r="B714" s="1632">
        <f t="shared" ca="1" si="10"/>
        <v>0.96126808182697054</v>
      </c>
      <c r="C714" s="1594">
        <v>702</v>
      </c>
      <c r="D714" s="1665">
        <v>2719365.4824631587</v>
      </c>
    </row>
    <row r="715" spans="2:4" ht="16">
      <c r="B715" s="1632">
        <f t="shared" ca="1" si="10"/>
        <v>1.1830294609437981</v>
      </c>
      <c r="C715" s="1594">
        <v>703</v>
      </c>
      <c r="D715" s="1665">
        <v>2719365.4824631587</v>
      </c>
    </row>
    <row r="716" spans="2:4" ht="16">
      <c r="B716" s="1632">
        <f t="shared" ca="1" si="10"/>
        <v>1.0602625997467947</v>
      </c>
      <c r="C716" s="1594">
        <v>704</v>
      </c>
      <c r="D716" s="1665">
        <v>2719365.4824631587</v>
      </c>
    </row>
    <row r="717" spans="2:4" ht="16">
      <c r="B717" s="1632">
        <f t="shared" ref="B717:B780" ca="1" si="11">MAX(NORMINV(RAND(),$B$4,$B$5),0)</f>
        <v>0.91701994708230916</v>
      </c>
      <c r="C717" s="1594">
        <v>705</v>
      </c>
      <c r="D717" s="1665">
        <v>2719365.4824631587</v>
      </c>
    </row>
    <row r="718" spans="2:4" ht="16">
      <c r="B718" s="1632">
        <f t="shared" ca="1" si="11"/>
        <v>1.0117322354984248</v>
      </c>
      <c r="C718" s="1594">
        <v>706</v>
      </c>
      <c r="D718" s="1665">
        <v>2719365.4824631587</v>
      </c>
    </row>
    <row r="719" spans="2:4" ht="16">
      <c r="B719" s="1632">
        <f t="shared" ca="1" si="11"/>
        <v>1.0145313764890911</v>
      </c>
      <c r="C719" s="1594">
        <v>707</v>
      </c>
      <c r="D719" s="1665">
        <v>2719365.4824631587</v>
      </c>
    </row>
    <row r="720" spans="2:4" ht="16">
      <c r="B720" s="1632">
        <f t="shared" ca="1" si="11"/>
        <v>0.9442781561380057</v>
      </c>
      <c r="C720" s="1594">
        <v>708</v>
      </c>
      <c r="D720" s="1665">
        <v>2719365.4824631587</v>
      </c>
    </row>
    <row r="721" spans="2:4" ht="16">
      <c r="B721" s="1632">
        <f t="shared" ca="1" si="11"/>
        <v>1.3544497603733823</v>
      </c>
      <c r="C721" s="1594">
        <v>709</v>
      </c>
      <c r="D721" s="1665">
        <v>2719365.4824631587</v>
      </c>
    </row>
    <row r="722" spans="2:4" ht="16">
      <c r="B722" s="1632">
        <f t="shared" ca="1" si="11"/>
        <v>1.1125277015198463</v>
      </c>
      <c r="C722" s="1594">
        <v>710</v>
      </c>
      <c r="D722" s="1665">
        <v>2719365.4824631587</v>
      </c>
    </row>
    <row r="723" spans="2:4" ht="16">
      <c r="B723" s="1632">
        <f t="shared" ca="1" si="11"/>
        <v>0.94321215195600872</v>
      </c>
      <c r="C723" s="1594">
        <v>711</v>
      </c>
      <c r="D723" s="1665">
        <v>2719365.4824631587</v>
      </c>
    </row>
    <row r="724" spans="2:4" ht="16">
      <c r="B724" s="1632">
        <f t="shared" ca="1" si="11"/>
        <v>1.1968112819558614</v>
      </c>
      <c r="C724" s="1594">
        <v>712</v>
      </c>
      <c r="D724" s="1665">
        <v>2719365.4824631587</v>
      </c>
    </row>
    <row r="725" spans="2:4" ht="16">
      <c r="B725" s="1632">
        <f t="shared" ca="1" si="11"/>
        <v>0.92328033290619838</v>
      </c>
      <c r="C725" s="1594">
        <v>713</v>
      </c>
      <c r="D725" s="1665">
        <v>2719365.4824631587</v>
      </c>
    </row>
    <row r="726" spans="2:4" ht="16">
      <c r="B726" s="1632">
        <f t="shared" ca="1" si="11"/>
        <v>1.0871035173898924</v>
      </c>
      <c r="C726" s="1594">
        <v>714</v>
      </c>
      <c r="D726" s="1665">
        <v>2719365.4824631587</v>
      </c>
    </row>
    <row r="727" spans="2:4" ht="16">
      <c r="B727" s="1632">
        <f t="shared" ca="1" si="11"/>
        <v>0.82450470635378448</v>
      </c>
      <c r="C727" s="1594">
        <v>715</v>
      </c>
      <c r="D727" s="1665">
        <v>2719365.4824631587</v>
      </c>
    </row>
    <row r="728" spans="2:4" ht="16">
      <c r="B728" s="1632">
        <f t="shared" ca="1" si="11"/>
        <v>0.96069035421085658</v>
      </c>
      <c r="C728" s="1594">
        <v>716</v>
      </c>
      <c r="D728" s="1665">
        <v>2719365.4824631587</v>
      </c>
    </row>
    <row r="729" spans="2:4" ht="16">
      <c r="B729" s="1632">
        <f t="shared" ca="1" si="11"/>
        <v>0.8446943629990431</v>
      </c>
      <c r="C729" s="1594">
        <v>717</v>
      </c>
      <c r="D729" s="1665">
        <v>2719365.4824631587</v>
      </c>
    </row>
    <row r="730" spans="2:4" ht="16">
      <c r="B730" s="1632">
        <f t="shared" ca="1" si="11"/>
        <v>0.97918301998789614</v>
      </c>
      <c r="C730" s="1594">
        <v>718</v>
      </c>
      <c r="D730" s="1665">
        <v>2719365.4824631587</v>
      </c>
    </row>
    <row r="731" spans="2:4" ht="16">
      <c r="B731" s="1632">
        <f t="shared" ca="1" si="11"/>
        <v>1.2131850262829587</v>
      </c>
      <c r="C731" s="1594">
        <v>719</v>
      </c>
      <c r="D731" s="1665">
        <v>2719365.4824631587</v>
      </c>
    </row>
    <row r="732" spans="2:4" ht="16">
      <c r="B732" s="1632">
        <f t="shared" ca="1" si="11"/>
        <v>0.99417651808502672</v>
      </c>
      <c r="C732" s="1594">
        <v>720</v>
      </c>
      <c r="D732" s="1665">
        <v>2719365.4824631587</v>
      </c>
    </row>
    <row r="733" spans="2:4" ht="16">
      <c r="B733" s="1632">
        <f t="shared" ca="1" si="11"/>
        <v>0.88942182014280158</v>
      </c>
      <c r="C733" s="1594">
        <v>721</v>
      </c>
      <c r="D733" s="1665">
        <v>2719365.4824631587</v>
      </c>
    </row>
    <row r="734" spans="2:4" ht="16">
      <c r="B734" s="1632">
        <f t="shared" ca="1" si="11"/>
        <v>0.66176933119602366</v>
      </c>
      <c r="C734" s="1594">
        <v>722</v>
      </c>
      <c r="D734" s="1665">
        <v>2719365.4824631587</v>
      </c>
    </row>
    <row r="735" spans="2:4" ht="16">
      <c r="B735" s="1632">
        <f t="shared" ca="1" si="11"/>
        <v>0.99118122540846609</v>
      </c>
      <c r="C735" s="1594">
        <v>723</v>
      </c>
      <c r="D735" s="1665">
        <v>2719365.4824631587</v>
      </c>
    </row>
    <row r="736" spans="2:4" ht="16">
      <c r="B736" s="1632">
        <f t="shared" ca="1" si="11"/>
        <v>1.1504420323692017</v>
      </c>
      <c r="C736" s="1594">
        <v>724</v>
      </c>
      <c r="D736" s="1665">
        <v>2719365.4824631587</v>
      </c>
    </row>
    <row r="737" spans="2:4" ht="16">
      <c r="B737" s="1632">
        <f t="shared" ca="1" si="11"/>
        <v>1.0726537472519129</v>
      </c>
      <c r="C737" s="1594">
        <v>725</v>
      </c>
      <c r="D737" s="1665">
        <v>2719365.4824631587</v>
      </c>
    </row>
    <row r="738" spans="2:4" ht="16">
      <c r="B738" s="1632">
        <f t="shared" ca="1" si="11"/>
        <v>1.0285342517197225</v>
      </c>
      <c r="C738" s="1594">
        <v>726</v>
      </c>
      <c r="D738" s="1665">
        <v>2719365.4824631587</v>
      </c>
    </row>
    <row r="739" spans="2:4" ht="16">
      <c r="B739" s="1632">
        <f t="shared" ca="1" si="11"/>
        <v>0.99805312309862082</v>
      </c>
      <c r="C739" s="1594">
        <v>727</v>
      </c>
      <c r="D739" s="1665">
        <v>2719365.4824631587</v>
      </c>
    </row>
    <row r="740" spans="2:4" ht="16">
      <c r="B740" s="1632">
        <f t="shared" ca="1" si="11"/>
        <v>0.98248793556669756</v>
      </c>
      <c r="C740" s="1594">
        <v>728</v>
      </c>
      <c r="D740" s="1665">
        <v>2719365.4824631587</v>
      </c>
    </row>
    <row r="741" spans="2:4" ht="16">
      <c r="B741" s="1632">
        <f t="shared" ca="1" si="11"/>
        <v>0.99530638499244795</v>
      </c>
      <c r="C741" s="1594">
        <v>729</v>
      </c>
      <c r="D741" s="1665">
        <v>2719365.4824631587</v>
      </c>
    </row>
    <row r="742" spans="2:4" ht="16">
      <c r="B742" s="1632">
        <f t="shared" ca="1" si="11"/>
        <v>1.2511789936718953</v>
      </c>
      <c r="C742" s="1594">
        <v>730</v>
      </c>
      <c r="D742" s="1665">
        <v>2719365.4824631587</v>
      </c>
    </row>
    <row r="743" spans="2:4" ht="16">
      <c r="B743" s="1632">
        <f t="shared" ca="1" si="11"/>
        <v>0.95800931303382764</v>
      </c>
      <c r="C743" s="1594">
        <v>731</v>
      </c>
      <c r="D743" s="1665">
        <v>2719365.4824631587</v>
      </c>
    </row>
    <row r="744" spans="2:4" ht="16">
      <c r="B744" s="1632">
        <f t="shared" ca="1" si="11"/>
        <v>0.88628100289666667</v>
      </c>
      <c r="C744" s="1594">
        <v>732</v>
      </c>
      <c r="D744" s="1665">
        <v>2719365.4824631587</v>
      </c>
    </row>
    <row r="745" spans="2:4" ht="16">
      <c r="B745" s="1632">
        <f t="shared" ca="1" si="11"/>
        <v>0.94005979382713989</v>
      </c>
      <c r="C745" s="1594">
        <v>733</v>
      </c>
      <c r="D745" s="1665">
        <v>2719365.4824631587</v>
      </c>
    </row>
    <row r="746" spans="2:4" ht="16">
      <c r="B746" s="1632">
        <f t="shared" ca="1" si="11"/>
        <v>0.65002607158265091</v>
      </c>
      <c r="C746" s="1594">
        <v>734</v>
      </c>
      <c r="D746" s="1665">
        <v>2719365.4824631587</v>
      </c>
    </row>
    <row r="747" spans="2:4" ht="16">
      <c r="B747" s="1632">
        <f t="shared" ca="1" si="11"/>
        <v>0.97498545296640127</v>
      </c>
      <c r="C747" s="1594">
        <v>735</v>
      </c>
      <c r="D747" s="1665">
        <v>2719365.4824631587</v>
      </c>
    </row>
    <row r="748" spans="2:4" ht="16">
      <c r="B748" s="1632">
        <f t="shared" ca="1" si="11"/>
        <v>0.99546596257911169</v>
      </c>
      <c r="C748" s="1594">
        <v>736</v>
      </c>
      <c r="D748" s="1665">
        <v>2719365.4824631587</v>
      </c>
    </row>
    <row r="749" spans="2:4" ht="16">
      <c r="B749" s="1632">
        <f t="shared" ca="1" si="11"/>
        <v>1.0983618992432898</v>
      </c>
      <c r="C749" s="1594">
        <v>737</v>
      </c>
      <c r="D749" s="1665">
        <v>2719365.4824631587</v>
      </c>
    </row>
    <row r="750" spans="2:4" ht="16">
      <c r="B750" s="1632">
        <f t="shared" ca="1" si="11"/>
        <v>0.94946120261946854</v>
      </c>
      <c r="C750" s="1594">
        <v>738</v>
      </c>
      <c r="D750" s="1665">
        <v>2719365.4824631587</v>
      </c>
    </row>
    <row r="751" spans="2:4" ht="16">
      <c r="B751" s="1632">
        <f t="shared" ca="1" si="11"/>
        <v>0.98737502270346678</v>
      </c>
      <c r="C751" s="1594">
        <v>739</v>
      </c>
      <c r="D751" s="1665">
        <v>2719365.4824631587</v>
      </c>
    </row>
    <row r="752" spans="2:4" ht="16">
      <c r="B752" s="1632">
        <f t="shared" ca="1" si="11"/>
        <v>0.93647618973378322</v>
      </c>
      <c r="C752" s="1594">
        <v>740</v>
      </c>
      <c r="D752" s="1665">
        <v>2719365.4824631587</v>
      </c>
    </row>
    <row r="753" spans="2:4" ht="16">
      <c r="B753" s="1632">
        <f t="shared" ca="1" si="11"/>
        <v>0.97687398531438518</v>
      </c>
      <c r="C753" s="1594">
        <v>741</v>
      </c>
      <c r="D753" s="1665">
        <v>2719365.4824631587</v>
      </c>
    </row>
    <row r="754" spans="2:4" ht="16">
      <c r="B754" s="1632">
        <f t="shared" ca="1" si="11"/>
        <v>0.78798315439683297</v>
      </c>
      <c r="C754" s="1594">
        <v>742</v>
      </c>
      <c r="D754" s="1665">
        <v>2719365.4824631587</v>
      </c>
    </row>
    <row r="755" spans="2:4" ht="16">
      <c r="B755" s="1632">
        <f t="shared" ca="1" si="11"/>
        <v>0.8268068171989108</v>
      </c>
      <c r="C755" s="1594">
        <v>743</v>
      </c>
      <c r="D755" s="1665">
        <v>2719365.4824631587</v>
      </c>
    </row>
    <row r="756" spans="2:4" ht="16">
      <c r="B756" s="1632">
        <f t="shared" ca="1" si="11"/>
        <v>0.98074867115309561</v>
      </c>
      <c r="C756" s="1594">
        <v>744</v>
      </c>
      <c r="D756" s="1665">
        <v>2719365.4824631587</v>
      </c>
    </row>
    <row r="757" spans="2:4" ht="16">
      <c r="B757" s="1632">
        <f t="shared" ca="1" si="11"/>
        <v>0.7772198944586588</v>
      </c>
      <c r="C757" s="1594">
        <v>745</v>
      </c>
      <c r="D757" s="1665">
        <v>2719365.4824631587</v>
      </c>
    </row>
    <row r="758" spans="2:4" ht="16">
      <c r="B758" s="1632">
        <f t="shared" ca="1" si="11"/>
        <v>1.081597520431147</v>
      </c>
      <c r="C758" s="1594">
        <v>746</v>
      </c>
      <c r="D758" s="1665">
        <v>2719365.4824631587</v>
      </c>
    </row>
    <row r="759" spans="2:4" ht="16">
      <c r="B759" s="1632">
        <f t="shared" ca="1" si="11"/>
        <v>0.81671519696084582</v>
      </c>
      <c r="C759" s="1594">
        <v>747</v>
      </c>
      <c r="D759" s="1665">
        <v>2719365.4824631587</v>
      </c>
    </row>
    <row r="760" spans="2:4" ht="16">
      <c r="B760" s="1632">
        <f t="shared" ca="1" si="11"/>
        <v>1.3344337499911982</v>
      </c>
      <c r="C760" s="1594">
        <v>748</v>
      </c>
      <c r="D760" s="1665">
        <v>2719365.4824631587</v>
      </c>
    </row>
    <row r="761" spans="2:4" ht="16">
      <c r="B761" s="1632">
        <f t="shared" ca="1" si="11"/>
        <v>1.0009859661423623</v>
      </c>
      <c r="C761" s="1594">
        <v>749</v>
      </c>
      <c r="D761" s="1665">
        <v>2719365.4824631587</v>
      </c>
    </row>
    <row r="762" spans="2:4" ht="16">
      <c r="B762" s="1632">
        <f t="shared" ca="1" si="11"/>
        <v>0.87676033861139946</v>
      </c>
      <c r="C762" s="1594">
        <v>750</v>
      </c>
      <c r="D762" s="1665">
        <v>2719365.4824631587</v>
      </c>
    </row>
    <row r="763" spans="2:4" ht="16">
      <c r="B763" s="1632">
        <f t="shared" ca="1" si="11"/>
        <v>0.83583676985113242</v>
      </c>
      <c r="C763" s="1594">
        <v>751</v>
      </c>
      <c r="D763" s="1665">
        <v>2719365.4824631587</v>
      </c>
    </row>
    <row r="764" spans="2:4" ht="16">
      <c r="B764" s="1632">
        <f t="shared" ca="1" si="11"/>
        <v>0.92531337342671294</v>
      </c>
      <c r="C764" s="1594">
        <v>752</v>
      </c>
      <c r="D764" s="1665">
        <v>2719365.4824631587</v>
      </c>
    </row>
    <row r="765" spans="2:4" ht="16">
      <c r="B765" s="1632">
        <f t="shared" ca="1" si="11"/>
        <v>0.99511476458818504</v>
      </c>
      <c r="C765" s="1594">
        <v>753</v>
      </c>
      <c r="D765" s="1665">
        <v>2719365.4824631587</v>
      </c>
    </row>
    <row r="766" spans="2:4" ht="16">
      <c r="B766" s="1632">
        <f t="shared" ca="1" si="11"/>
        <v>1.1507115660563698</v>
      </c>
      <c r="C766" s="1594">
        <v>754</v>
      </c>
      <c r="D766" s="1665">
        <v>2719365.4824631587</v>
      </c>
    </row>
    <row r="767" spans="2:4" ht="16">
      <c r="B767" s="1632">
        <f t="shared" ca="1" si="11"/>
        <v>1.1023201450909896</v>
      </c>
      <c r="C767" s="1594">
        <v>755</v>
      </c>
      <c r="D767" s="1665">
        <v>2719365.4824631587</v>
      </c>
    </row>
    <row r="768" spans="2:4" ht="16">
      <c r="B768" s="1632">
        <f t="shared" ca="1" si="11"/>
        <v>1.1597822240294835</v>
      </c>
      <c r="C768" s="1594">
        <v>756</v>
      </c>
      <c r="D768" s="1665">
        <v>2719365.4824631587</v>
      </c>
    </row>
    <row r="769" spans="2:4" ht="16">
      <c r="B769" s="1632">
        <f t="shared" ca="1" si="11"/>
        <v>0.92580270143785959</v>
      </c>
      <c r="C769" s="1594">
        <v>757</v>
      </c>
      <c r="D769" s="1665">
        <v>2719365.4824631587</v>
      </c>
    </row>
    <row r="770" spans="2:4" ht="16">
      <c r="B770" s="1632">
        <f t="shared" ca="1" si="11"/>
        <v>1.1241151074871178</v>
      </c>
      <c r="C770" s="1594">
        <v>758</v>
      </c>
      <c r="D770" s="1665">
        <v>2719365.4824631587</v>
      </c>
    </row>
    <row r="771" spans="2:4" ht="16">
      <c r="B771" s="1632">
        <f t="shared" ca="1" si="11"/>
        <v>0.65321632480771763</v>
      </c>
      <c r="C771" s="1594">
        <v>759</v>
      </c>
      <c r="D771" s="1665">
        <v>2719365.4824631587</v>
      </c>
    </row>
    <row r="772" spans="2:4" ht="16">
      <c r="B772" s="1632">
        <f t="shared" ca="1" si="11"/>
        <v>0.94552920857529144</v>
      </c>
      <c r="C772" s="1594">
        <v>760</v>
      </c>
      <c r="D772" s="1665">
        <v>2719365.4824631587</v>
      </c>
    </row>
    <row r="773" spans="2:4" ht="16">
      <c r="B773" s="1632">
        <f t="shared" ca="1" si="11"/>
        <v>0.85801079266615465</v>
      </c>
      <c r="C773" s="1594">
        <v>761</v>
      </c>
      <c r="D773" s="1665">
        <v>2719365.4824631587</v>
      </c>
    </row>
    <row r="774" spans="2:4" ht="16">
      <c r="B774" s="1632">
        <f t="shared" ca="1" si="11"/>
        <v>1.0605281643055964</v>
      </c>
      <c r="C774" s="1594">
        <v>762</v>
      </c>
      <c r="D774" s="1665">
        <v>2719365.4824631587</v>
      </c>
    </row>
    <row r="775" spans="2:4" ht="16">
      <c r="B775" s="1632">
        <f t="shared" ca="1" si="11"/>
        <v>1.04103854487292</v>
      </c>
      <c r="C775" s="1594">
        <v>763</v>
      </c>
      <c r="D775" s="1665">
        <v>2719365.4824631587</v>
      </c>
    </row>
    <row r="776" spans="2:4" ht="16">
      <c r="B776" s="1632">
        <f t="shared" ca="1" si="11"/>
        <v>0.96139478137342615</v>
      </c>
      <c r="C776" s="1594">
        <v>764</v>
      </c>
      <c r="D776" s="1665">
        <v>2719365.4824631587</v>
      </c>
    </row>
    <row r="777" spans="2:4" ht="16">
      <c r="B777" s="1632">
        <f t="shared" ca="1" si="11"/>
        <v>0.91678655617048266</v>
      </c>
      <c r="C777" s="1594">
        <v>765</v>
      </c>
      <c r="D777" s="1665">
        <v>2719365.4824631587</v>
      </c>
    </row>
    <row r="778" spans="2:4" ht="16">
      <c r="B778" s="1632">
        <f t="shared" ca="1" si="11"/>
        <v>0.90652246814209558</v>
      </c>
      <c r="C778" s="1594">
        <v>766</v>
      </c>
      <c r="D778" s="1665">
        <v>2719365.4824631587</v>
      </c>
    </row>
    <row r="779" spans="2:4" ht="16">
      <c r="B779" s="1632">
        <f t="shared" ca="1" si="11"/>
        <v>1.1097849713764503</v>
      </c>
      <c r="C779" s="1594">
        <v>767</v>
      </c>
      <c r="D779" s="1665">
        <v>2719365.4824631587</v>
      </c>
    </row>
    <row r="780" spans="2:4" ht="16">
      <c r="B780" s="1632">
        <f t="shared" ca="1" si="11"/>
        <v>0.98736428802946008</v>
      </c>
      <c r="C780" s="1594">
        <v>768</v>
      </c>
      <c r="D780" s="1665">
        <v>2719365.4824631587</v>
      </c>
    </row>
    <row r="781" spans="2:4" ht="16">
      <c r="B781" s="1632">
        <f t="shared" ref="B781:B844" ca="1" si="12">MAX(NORMINV(RAND(),$B$4,$B$5),0)</f>
        <v>0.87602772413407348</v>
      </c>
      <c r="C781" s="1594">
        <v>769</v>
      </c>
      <c r="D781" s="1665">
        <v>2719365.4824631587</v>
      </c>
    </row>
    <row r="782" spans="2:4" ht="16">
      <c r="B782" s="1632">
        <f t="shared" ca="1" si="12"/>
        <v>0.9268021651688535</v>
      </c>
      <c r="C782" s="1594">
        <v>770</v>
      </c>
      <c r="D782" s="1665">
        <v>2719365.4824631587</v>
      </c>
    </row>
    <row r="783" spans="2:4" ht="16">
      <c r="B783" s="1632">
        <f t="shared" ca="1" si="12"/>
        <v>1.0177241923865812</v>
      </c>
      <c r="C783" s="1594">
        <v>771</v>
      </c>
      <c r="D783" s="1665">
        <v>2719365.4824631587</v>
      </c>
    </row>
    <row r="784" spans="2:4" ht="16">
      <c r="B784" s="1632">
        <f t="shared" ca="1" si="12"/>
        <v>1.0830813719703858</v>
      </c>
      <c r="C784" s="1594">
        <v>772</v>
      </c>
      <c r="D784" s="1665">
        <v>2719365.4824631587</v>
      </c>
    </row>
    <row r="785" spans="2:4" ht="16">
      <c r="B785" s="1632">
        <f t="shared" ca="1" si="12"/>
        <v>0.90899799645226564</v>
      </c>
      <c r="C785" s="1594">
        <v>773</v>
      </c>
      <c r="D785" s="1665">
        <v>2719365.4824631587</v>
      </c>
    </row>
    <row r="786" spans="2:4" ht="16">
      <c r="B786" s="1632">
        <f t="shared" ca="1" si="12"/>
        <v>0.90041054144114319</v>
      </c>
      <c r="C786" s="1594">
        <v>774</v>
      </c>
      <c r="D786" s="1665">
        <v>2719365.4824631587</v>
      </c>
    </row>
    <row r="787" spans="2:4" ht="16">
      <c r="B787" s="1632">
        <f t="shared" ca="1" si="12"/>
        <v>1.018971442530433</v>
      </c>
      <c r="C787" s="1594">
        <v>775</v>
      </c>
      <c r="D787" s="1665">
        <v>2719365.4824631587</v>
      </c>
    </row>
    <row r="788" spans="2:4" ht="16">
      <c r="B788" s="1632">
        <f t="shared" ca="1" si="12"/>
        <v>0.92065247395913441</v>
      </c>
      <c r="C788" s="1594">
        <v>776</v>
      </c>
      <c r="D788" s="1665">
        <v>2719365.4824631587</v>
      </c>
    </row>
    <row r="789" spans="2:4" ht="16">
      <c r="B789" s="1632">
        <f t="shared" ca="1" si="12"/>
        <v>1.0832214359262269</v>
      </c>
      <c r="C789" s="1594">
        <v>777</v>
      </c>
      <c r="D789" s="1665">
        <v>2719365.4824631587</v>
      </c>
    </row>
    <row r="790" spans="2:4" ht="16">
      <c r="B790" s="1632">
        <f t="shared" ca="1" si="12"/>
        <v>1.0522901579638313</v>
      </c>
      <c r="C790" s="1594">
        <v>778</v>
      </c>
      <c r="D790" s="1665">
        <v>2719365.4824631587</v>
      </c>
    </row>
    <row r="791" spans="2:4" ht="16">
      <c r="B791" s="1632">
        <f t="shared" ca="1" si="12"/>
        <v>1.0208888229806872</v>
      </c>
      <c r="C791" s="1594">
        <v>779</v>
      </c>
      <c r="D791" s="1665">
        <v>2719365.4824631587</v>
      </c>
    </row>
    <row r="792" spans="2:4" ht="16">
      <c r="B792" s="1632">
        <f t="shared" ca="1" si="12"/>
        <v>0.9071952845837209</v>
      </c>
      <c r="C792" s="1594">
        <v>780</v>
      </c>
      <c r="D792" s="1665">
        <v>2719365.4824631587</v>
      </c>
    </row>
    <row r="793" spans="2:4" ht="16">
      <c r="B793" s="1632">
        <f t="shared" ca="1" si="12"/>
        <v>0.87869549541109027</v>
      </c>
      <c r="C793" s="1594">
        <v>781</v>
      </c>
      <c r="D793" s="1665">
        <v>2719365.4824631587</v>
      </c>
    </row>
    <row r="794" spans="2:4" ht="16">
      <c r="B794" s="1632">
        <f t="shared" ca="1" si="12"/>
        <v>1.0569386515383477</v>
      </c>
      <c r="C794" s="1594">
        <v>782</v>
      </c>
      <c r="D794" s="1665">
        <v>2719365.4824631587</v>
      </c>
    </row>
    <row r="795" spans="2:4" ht="16">
      <c r="B795" s="1632">
        <f t="shared" ca="1" si="12"/>
        <v>1.149425936898365</v>
      </c>
      <c r="C795" s="1594">
        <v>783</v>
      </c>
      <c r="D795" s="1665">
        <v>2719365.4824631587</v>
      </c>
    </row>
    <row r="796" spans="2:4" ht="16">
      <c r="B796" s="1632">
        <f t="shared" ca="1" si="12"/>
        <v>1.0056051546637734</v>
      </c>
      <c r="C796" s="1594">
        <v>784</v>
      </c>
      <c r="D796" s="1665">
        <v>2719365.4824631587</v>
      </c>
    </row>
    <row r="797" spans="2:4" ht="16">
      <c r="B797" s="1632">
        <f t="shared" ca="1" si="12"/>
        <v>1.1826926628079375</v>
      </c>
      <c r="C797" s="1594">
        <v>785</v>
      </c>
      <c r="D797" s="1665">
        <v>2719365.4824631587</v>
      </c>
    </row>
    <row r="798" spans="2:4" ht="16">
      <c r="B798" s="1632">
        <f t="shared" ca="1" si="12"/>
        <v>0.98869063446910666</v>
      </c>
      <c r="C798" s="1594">
        <v>786</v>
      </c>
      <c r="D798" s="1665">
        <v>2719365.4824631587</v>
      </c>
    </row>
    <row r="799" spans="2:4" ht="16">
      <c r="B799" s="1632">
        <f t="shared" ca="1" si="12"/>
        <v>1.0190237792110559</v>
      </c>
      <c r="C799" s="1594">
        <v>787</v>
      </c>
      <c r="D799" s="1665">
        <v>2719365.4824631587</v>
      </c>
    </row>
    <row r="800" spans="2:4" ht="16">
      <c r="B800" s="1632">
        <f t="shared" ca="1" si="12"/>
        <v>1.1309748023478257</v>
      </c>
      <c r="C800" s="1594">
        <v>788</v>
      </c>
      <c r="D800" s="1665">
        <v>2719365.4824631587</v>
      </c>
    </row>
    <row r="801" spans="2:4" ht="16">
      <c r="B801" s="1632">
        <f t="shared" ca="1" si="12"/>
        <v>1.0915935933313232</v>
      </c>
      <c r="C801" s="1594">
        <v>789</v>
      </c>
      <c r="D801" s="1665">
        <v>2719365.4824631587</v>
      </c>
    </row>
    <row r="802" spans="2:4" ht="16">
      <c r="B802" s="1632">
        <f t="shared" ca="1" si="12"/>
        <v>1.1090253516182103</v>
      </c>
      <c r="C802" s="1594">
        <v>790</v>
      </c>
      <c r="D802" s="1665">
        <v>2719365.4824631587</v>
      </c>
    </row>
    <row r="803" spans="2:4" ht="16">
      <c r="B803" s="1632">
        <f t="shared" ca="1" si="12"/>
        <v>0.91229966768703574</v>
      </c>
      <c r="C803" s="1594">
        <v>791</v>
      </c>
      <c r="D803" s="1665">
        <v>2719365.4824631587</v>
      </c>
    </row>
    <row r="804" spans="2:4" ht="16">
      <c r="B804" s="1632">
        <f t="shared" ca="1" si="12"/>
        <v>1.0872203211027311</v>
      </c>
      <c r="C804" s="1594">
        <v>792</v>
      </c>
      <c r="D804" s="1665">
        <v>2719365.4824631587</v>
      </c>
    </row>
    <row r="805" spans="2:4" ht="16">
      <c r="B805" s="1632">
        <f t="shared" ca="1" si="12"/>
        <v>0.95542448136579461</v>
      </c>
      <c r="C805" s="1594">
        <v>793</v>
      </c>
      <c r="D805" s="1665">
        <v>2719365.4824631587</v>
      </c>
    </row>
    <row r="806" spans="2:4" ht="16">
      <c r="B806" s="1632">
        <f t="shared" ca="1" si="12"/>
        <v>0.97071845634437226</v>
      </c>
      <c r="C806" s="1594">
        <v>794</v>
      </c>
      <c r="D806" s="1665">
        <v>2719365.4824631587</v>
      </c>
    </row>
    <row r="807" spans="2:4" ht="16">
      <c r="B807" s="1632">
        <f t="shared" ca="1" si="12"/>
        <v>1.0898095373843784</v>
      </c>
      <c r="C807" s="1594">
        <v>795</v>
      </c>
      <c r="D807" s="1665">
        <v>2719365.4824631587</v>
      </c>
    </row>
    <row r="808" spans="2:4" ht="16">
      <c r="B808" s="1632">
        <f t="shared" ca="1" si="12"/>
        <v>0.70324069119040389</v>
      </c>
      <c r="C808" s="1594">
        <v>796</v>
      </c>
      <c r="D808" s="1665">
        <v>2719365.4824631587</v>
      </c>
    </row>
    <row r="809" spans="2:4" ht="16">
      <c r="B809" s="1632">
        <f t="shared" ca="1" si="12"/>
        <v>0.75721869705540645</v>
      </c>
      <c r="C809" s="1594">
        <v>797</v>
      </c>
      <c r="D809" s="1665">
        <v>2719365.4824631587</v>
      </c>
    </row>
    <row r="810" spans="2:4" ht="16">
      <c r="B810" s="1632">
        <f t="shared" ca="1" si="12"/>
        <v>1.0736048941606251</v>
      </c>
      <c r="C810" s="1594">
        <v>798</v>
      </c>
      <c r="D810" s="1665">
        <v>2719365.4824631587</v>
      </c>
    </row>
    <row r="811" spans="2:4" ht="16">
      <c r="B811" s="1632">
        <f t="shared" ca="1" si="12"/>
        <v>1.017651517399887</v>
      </c>
      <c r="C811" s="1594">
        <v>799</v>
      </c>
      <c r="D811" s="1665">
        <v>2719365.4824631587</v>
      </c>
    </row>
    <row r="812" spans="2:4" ht="16">
      <c r="B812" s="1632">
        <f t="shared" ca="1" si="12"/>
        <v>0.74185983681279644</v>
      </c>
      <c r="C812" s="1594">
        <v>800</v>
      </c>
      <c r="D812" s="1665">
        <v>2719365.4824631587</v>
      </c>
    </row>
    <row r="813" spans="2:4" ht="16">
      <c r="B813" s="1632">
        <f t="shared" ca="1" si="12"/>
        <v>1.133948621261216</v>
      </c>
      <c r="C813" s="1594">
        <v>801</v>
      </c>
      <c r="D813" s="1665">
        <v>2719365.4824631587</v>
      </c>
    </row>
    <row r="814" spans="2:4" ht="16">
      <c r="B814" s="1632">
        <f t="shared" ca="1" si="12"/>
        <v>1.2063207473185662</v>
      </c>
      <c r="C814" s="1594">
        <v>802</v>
      </c>
      <c r="D814" s="1665">
        <v>2719365.4824631587</v>
      </c>
    </row>
    <row r="815" spans="2:4" ht="16">
      <c r="B815" s="1632">
        <f t="shared" ca="1" si="12"/>
        <v>0.97277530830304781</v>
      </c>
      <c r="C815" s="1594">
        <v>803</v>
      </c>
      <c r="D815" s="1665">
        <v>2719365.4824631587</v>
      </c>
    </row>
    <row r="816" spans="2:4" ht="16">
      <c r="B816" s="1632">
        <f t="shared" ca="1" si="12"/>
        <v>1.0907549628714446</v>
      </c>
      <c r="C816" s="1594">
        <v>804</v>
      </c>
      <c r="D816" s="1665">
        <v>2719365.4824631587</v>
      </c>
    </row>
    <row r="817" spans="2:4" ht="16">
      <c r="B817" s="1632">
        <f t="shared" ca="1" si="12"/>
        <v>1.0206859803416259</v>
      </c>
      <c r="C817" s="1594">
        <v>805</v>
      </c>
      <c r="D817" s="1665">
        <v>2719365.4824631587</v>
      </c>
    </row>
    <row r="818" spans="2:4" ht="16">
      <c r="B818" s="1632">
        <f t="shared" ca="1" si="12"/>
        <v>0.95264991432321711</v>
      </c>
      <c r="C818" s="1594">
        <v>806</v>
      </c>
      <c r="D818" s="1665">
        <v>2719365.4824631587</v>
      </c>
    </row>
    <row r="819" spans="2:4" ht="16">
      <c r="B819" s="1632">
        <f t="shared" ca="1" si="12"/>
        <v>1.0227287073417635</v>
      </c>
      <c r="C819" s="1594">
        <v>807</v>
      </c>
      <c r="D819" s="1665">
        <v>2719365.4824631587</v>
      </c>
    </row>
    <row r="820" spans="2:4" ht="16">
      <c r="B820" s="1632">
        <f t="shared" ca="1" si="12"/>
        <v>0.86256282494813763</v>
      </c>
      <c r="C820" s="1594">
        <v>808</v>
      </c>
      <c r="D820" s="1665">
        <v>2719365.4824631587</v>
      </c>
    </row>
    <row r="821" spans="2:4" ht="16">
      <c r="B821" s="1632">
        <f t="shared" ca="1" si="12"/>
        <v>0.94210605346659382</v>
      </c>
      <c r="C821" s="1594">
        <v>809</v>
      </c>
      <c r="D821" s="1665">
        <v>2719365.4824631587</v>
      </c>
    </row>
    <row r="822" spans="2:4" ht="16">
      <c r="B822" s="1632">
        <f t="shared" ca="1" si="12"/>
        <v>0.85167603638472356</v>
      </c>
      <c r="C822" s="1594">
        <v>810</v>
      </c>
      <c r="D822" s="1665">
        <v>2719365.4824631587</v>
      </c>
    </row>
    <row r="823" spans="2:4" ht="16">
      <c r="B823" s="1632">
        <f t="shared" ca="1" si="12"/>
        <v>1.0848465027705456</v>
      </c>
      <c r="C823" s="1594">
        <v>811</v>
      </c>
      <c r="D823" s="1665">
        <v>2719365.4824631587</v>
      </c>
    </row>
    <row r="824" spans="2:4" ht="16">
      <c r="B824" s="1632">
        <f t="shared" ca="1" si="12"/>
        <v>0.90411596953338214</v>
      </c>
      <c r="C824" s="1594">
        <v>812</v>
      </c>
      <c r="D824" s="1665">
        <v>2719365.4824631587</v>
      </c>
    </row>
    <row r="825" spans="2:4" ht="16">
      <c r="B825" s="1632">
        <f t="shared" ca="1" si="12"/>
        <v>0.76091195420476465</v>
      </c>
      <c r="C825" s="1594">
        <v>813</v>
      </c>
      <c r="D825" s="1665">
        <v>2719365.4824631587</v>
      </c>
    </row>
    <row r="826" spans="2:4" ht="16">
      <c r="B826" s="1632">
        <f t="shared" ca="1" si="12"/>
        <v>1.0170677304160087</v>
      </c>
      <c r="C826" s="1594">
        <v>814</v>
      </c>
      <c r="D826" s="1665">
        <v>2719365.4824631587</v>
      </c>
    </row>
    <row r="827" spans="2:4" ht="16">
      <c r="B827" s="1632">
        <f t="shared" ca="1" si="12"/>
        <v>1.0931294122837441</v>
      </c>
      <c r="C827" s="1594">
        <v>815</v>
      </c>
      <c r="D827" s="1665">
        <v>2719365.4824631587</v>
      </c>
    </row>
    <row r="828" spans="2:4" ht="16">
      <c r="B828" s="1632">
        <f t="shared" ca="1" si="12"/>
        <v>0.8492198608055973</v>
      </c>
      <c r="C828" s="1594">
        <v>816</v>
      </c>
      <c r="D828" s="1665">
        <v>2719365.4824631587</v>
      </c>
    </row>
    <row r="829" spans="2:4" ht="16">
      <c r="B829" s="1632">
        <f t="shared" ca="1" si="12"/>
        <v>0.65653727470169021</v>
      </c>
      <c r="C829" s="1594">
        <v>817</v>
      </c>
      <c r="D829" s="1665">
        <v>2719365.4824631587</v>
      </c>
    </row>
    <row r="830" spans="2:4" ht="16">
      <c r="B830" s="1632">
        <f t="shared" ca="1" si="12"/>
        <v>1.144586470097976</v>
      </c>
      <c r="C830" s="1594">
        <v>818</v>
      </c>
      <c r="D830" s="1665">
        <v>2719365.4824631587</v>
      </c>
    </row>
    <row r="831" spans="2:4" ht="16">
      <c r="B831" s="1632">
        <f t="shared" ca="1" si="12"/>
        <v>1.1100534029819453</v>
      </c>
      <c r="C831" s="1594">
        <v>819</v>
      </c>
      <c r="D831" s="1665">
        <v>2719365.4824631587</v>
      </c>
    </row>
    <row r="832" spans="2:4" ht="16">
      <c r="B832" s="1632">
        <f t="shared" ca="1" si="12"/>
        <v>0.96759671312263729</v>
      </c>
      <c r="C832" s="1594">
        <v>820</v>
      </c>
      <c r="D832" s="1665">
        <v>2719365.4824631587</v>
      </c>
    </row>
    <row r="833" spans="2:4" ht="16">
      <c r="B833" s="1632">
        <f t="shared" ca="1" si="12"/>
        <v>1.0562954169993028</v>
      </c>
      <c r="C833" s="1594">
        <v>821</v>
      </c>
      <c r="D833" s="1665">
        <v>2719365.4824631587</v>
      </c>
    </row>
    <row r="834" spans="2:4" ht="16">
      <c r="B834" s="1632">
        <f t="shared" ca="1" si="12"/>
        <v>1.0906242446041139</v>
      </c>
      <c r="C834" s="1594">
        <v>822</v>
      </c>
      <c r="D834" s="1665">
        <v>2719365.4824631587</v>
      </c>
    </row>
    <row r="835" spans="2:4" ht="16">
      <c r="B835" s="1632">
        <f t="shared" ca="1" si="12"/>
        <v>1.159209250668402</v>
      </c>
      <c r="C835" s="1594">
        <v>823</v>
      </c>
      <c r="D835" s="1665">
        <v>2719365.4824631587</v>
      </c>
    </row>
    <row r="836" spans="2:4" ht="16">
      <c r="B836" s="1632">
        <f t="shared" ca="1" si="12"/>
        <v>0.8414827281319226</v>
      </c>
      <c r="C836" s="1594">
        <v>824</v>
      </c>
      <c r="D836" s="1665">
        <v>2719365.4824631587</v>
      </c>
    </row>
    <row r="837" spans="2:4" ht="16">
      <c r="B837" s="1632">
        <f t="shared" ca="1" si="12"/>
        <v>0.94695354739586179</v>
      </c>
      <c r="C837" s="1594">
        <v>825</v>
      </c>
      <c r="D837" s="1665">
        <v>2719365.4824631587</v>
      </c>
    </row>
    <row r="838" spans="2:4" ht="16">
      <c r="B838" s="1632">
        <f t="shared" ca="1" si="12"/>
        <v>1.1481706389822215</v>
      </c>
      <c r="C838" s="1594">
        <v>826</v>
      </c>
      <c r="D838" s="1665">
        <v>2719365.4824631587</v>
      </c>
    </row>
    <row r="839" spans="2:4" ht="16">
      <c r="B839" s="1632">
        <f t="shared" ca="1" si="12"/>
        <v>1.0308689294800208</v>
      </c>
      <c r="C839" s="1594">
        <v>827</v>
      </c>
      <c r="D839" s="1665">
        <v>2719365.4824631587</v>
      </c>
    </row>
    <row r="840" spans="2:4" ht="16">
      <c r="B840" s="1632">
        <f t="shared" ca="1" si="12"/>
        <v>1.0235860361814479</v>
      </c>
      <c r="C840" s="1594">
        <v>828</v>
      </c>
      <c r="D840" s="1665">
        <v>2719365.4824631587</v>
      </c>
    </row>
    <row r="841" spans="2:4" ht="16">
      <c r="B841" s="1632">
        <f t="shared" ca="1" si="12"/>
        <v>0.96154901136121307</v>
      </c>
      <c r="C841" s="1594">
        <v>829</v>
      </c>
      <c r="D841" s="1665">
        <v>2719365.4824631587</v>
      </c>
    </row>
    <row r="842" spans="2:4" ht="16">
      <c r="B842" s="1632">
        <f t="shared" ca="1" si="12"/>
        <v>1.0021346376379328</v>
      </c>
      <c r="C842" s="1594">
        <v>830</v>
      </c>
      <c r="D842" s="1665">
        <v>2719365.4824631587</v>
      </c>
    </row>
    <row r="843" spans="2:4" ht="16">
      <c r="B843" s="1632">
        <f t="shared" ca="1" si="12"/>
        <v>0.86952211532444412</v>
      </c>
      <c r="C843" s="1594">
        <v>831</v>
      </c>
      <c r="D843" s="1665">
        <v>2719365.4824631587</v>
      </c>
    </row>
    <row r="844" spans="2:4" ht="16">
      <c r="B844" s="1632">
        <f t="shared" ca="1" si="12"/>
        <v>1.0931415846887993</v>
      </c>
      <c r="C844" s="1594">
        <v>832</v>
      </c>
      <c r="D844" s="1665">
        <v>2719365.4824631587</v>
      </c>
    </row>
    <row r="845" spans="2:4" ht="16">
      <c r="B845" s="1632">
        <f t="shared" ref="B845:B908" ca="1" si="13">MAX(NORMINV(RAND(),$B$4,$B$5),0)</f>
        <v>1.1616355052424165</v>
      </c>
      <c r="C845" s="1594">
        <v>833</v>
      </c>
      <c r="D845" s="1665">
        <v>2719365.4824631587</v>
      </c>
    </row>
    <row r="846" spans="2:4" ht="16">
      <c r="B846" s="1632">
        <f t="shared" ca="1" si="13"/>
        <v>1.0227125870497851</v>
      </c>
      <c r="C846" s="1594">
        <v>834</v>
      </c>
      <c r="D846" s="1665">
        <v>2719365.4824631587</v>
      </c>
    </row>
    <row r="847" spans="2:4" ht="16">
      <c r="B847" s="1632">
        <f t="shared" ca="1" si="13"/>
        <v>1.367352163553363</v>
      </c>
      <c r="C847" s="1594">
        <v>835</v>
      </c>
      <c r="D847" s="1665">
        <v>2719365.4824631587</v>
      </c>
    </row>
    <row r="848" spans="2:4" ht="16">
      <c r="B848" s="1632">
        <f t="shared" ca="1" si="13"/>
        <v>1.1453058266261447</v>
      </c>
      <c r="C848" s="1594">
        <v>836</v>
      </c>
      <c r="D848" s="1665">
        <v>2719365.4824631587</v>
      </c>
    </row>
    <row r="849" spans="2:4" ht="16">
      <c r="B849" s="1632">
        <f t="shared" ca="1" si="13"/>
        <v>0.91159210828646342</v>
      </c>
      <c r="C849" s="1594">
        <v>837</v>
      </c>
      <c r="D849" s="1665">
        <v>2719365.4824631587</v>
      </c>
    </row>
    <row r="850" spans="2:4" ht="16">
      <c r="B850" s="1632">
        <f t="shared" ca="1" si="13"/>
        <v>1.080186037472104</v>
      </c>
      <c r="C850" s="1594">
        <v>838</v>
      </c>
      <c r="D850" s="1665">
        <v>2719365.4824631587</v>
      </c>
    </row>
    <row r="851" spans="2:4" ht="16">
      <c r="B851" s="1632">
        <f t="shared" ca="1" si="13"/>
        <v>0.89216936801669722</v>
      </c>
      <c r="C851" s="1594">
        <v>839</v>
      </c>
      <c r="D851" s="1665">
        <v>2719365.4824631587</v>
      </c>
    </row>
    <row r="852" spans="2:4" ht="16">
      <c r="B852" s="1632">
        <f t="shared" ca="1" si="13"/>
        <v>1.2409316828681027</v>
      </c>
      <c r="C852" s="1594">
        <v>840</v>
      </c>
      <c r="D852" s="1665">
        <v>2719365.4824631587</v>
      </c>
    </row>
    <row r="853" spans="2:4" ht="16">
      <c r="B853" s="1632">
        <f t="shared" ca="1" si="13"/>
        <v>1.0915607033265171</v>
      </c>
      <c r="C853" s="1594">
        <v>841</v>
      </c>
      <c r="D853" s="1665">
        <v>2719365.4824631587</v>
      </c>
    </row>
    <row r="854" spans="2:4" ht="16">
      <c r="B854" s="1632">
        <f t="shared" ca="1" si="13"/>
        <v>0.88524925059154036</v>
      </c>
      <c r="C854" s="1594">
        <v>842</v>
      </c>
      <c r="D854" s="1665">
        <v>2719365.4824631587</v>
      </c>
    </row>
    <row r="855" spans="2:4" ht="16">
      <c r="B855" s="1632">
        <f t="shared" ca="1" si="13"/>
        <v>1.0028820235808329</v>
      </c>
      <c r="C855" s="1594">
        <v>843</v>
      </c>
      <c r="D855" s="1665">
        <v>2719365.4824631587</v>
      </c>
    </row>
    <row r="856" spans="2:4" ht="16">
      <c r="B856" s="1632">
        <f t="shared" ca="1" si="13"/>
        <v>1.0663475382265917</v>
      </c>
      <c r="C856" s="1594">
        <v>844</v>
      </c>
      <c r="D856" s="1665">
        <v>2719365.4824631587</v>
      </c>
    </row>
    <row r="857" spans="2:4" ht="16">
      <c r="B857" s="1632">
        <f t="shared" ca="1" si="13"/>
        <v>0.84768085462324905</v>
      </c>
      <c r="C857" s="1594">
        <v>845</v>
      </c>
      <c r="D857" s="1665">
        <v>2719365.4824631587</v>
      </c>
    </row>
    <row r="858" spans="2:4" ht="16">
      <c r="B858" s="1632">
        <f t="shared" ca="1" si="13"/>
        <v>1.0677566508592224</v>
      </c>
      <c r="C858" s="1594">
        <v>846</v>
      </c>
      <c r="D858" s="1665">
        <v>2719365.4824631587</v>
      </c>
    </row>
    <row r="859" spans="2:4" ht="16">
      <c r="B859" s="1632">
        <f t="shared" ca="1" si="13"/>
        <v>1.035831711219571</v>
      </c>
      <c r="C859" s="1594">
        <v>847</v>
      </c>
      <c r="D859" s="1665">
        <v>2719365.4824631587</v>
      </c>
    </row>
    <row r="860" spans="2:4" ht="16">
      <c r="B860" s="1632">
        <f t="shared" ca="1" si="13"/>
        <v>0.77594409914304718</v>
      </c>
      <c r="C860" s="1594">
        <v>848</v>
      </c>
      <c r="D860" s="1665">
        <v>2719365.4824631587</v>
      </c>
    </row>
    <row r="861" spans="2:4" ht="16">
      <c r="B861" s="1632">
        <f t="shared" ca="1" si="13"/>
        <v>0.79956935948796848</v>
      </c>
      <c r="C861" s="1594">
        <v>849</v>
      </c>
      <c r="D861" s="1665">
        <v>2719365.4824631587</v>
      </c>
    </row>
    <row r="862" spans="2:4" ht="16">
      <c r="B862" s="1632">
        <f t="shared" ca="1" si="13"/>
        <v>0.94574263074648734</v>
      </c>
      <c r="C862" s="1594">
        <v>850</v>
      </c>
      <c r="D862" s="1665">
        <v>2719365.4824631587</v>
      </c>
    </row>
    <row r="863" spans="2:4" ht="16">
      <c r="B863" s="1632">
        <f t="shared" ca="1" si="13"/>
        <v>1.0790949871419711</v>
      </c>
      <c r="C863" s="1594">
        <v>851</v>
      </c>
      <c r="D863" s="1665">
        <v>2719365.4824631587</v>
      </c>
    </row>
    <row r="864" spans="2:4" ht="16">
      <c r="B864" s="1632">
        <f t="shared" ca="1" si="13"/>
        <v>1.4303450563118847</v>
      </c>
      <c r="C864" s="1594">
        <v>852</v>
      </c>
      <c r="D864" s="1665">
        <v>2719365.4824631587</v>
      </c>
    </row>
    <row r="865" spans="2:4" ht="16">
      <c r="B865" s="1632">
        <f t="shared" ca="1" si="13"/>
        <v>0.81860883903069315</v>
      </c>
      <c r="C865" s="1594">
        <v>853</v>
      </c>
      <c r="D865" s="1665">
        <v>2719365.4824631587</v>
      </c>
    </row>
    <row r="866" spans="2:4" ht="16">
      <c r="B866" s="1632">
        <f t="shared" ca="1" si="13"/>
        <v>0.97790989081527113</v>
      </c>
      <c r="C866" s="1594">
        <v>854</v>
      </c>
      <c r="D866" s="1665">
        <v>2719365.4824631587</v>
      </c>
    </row>
    <row r="867" spans="2:4" ht="16">
      <c r="B867" s="1632">
        <f t="shared" ca="1" si="13"/>
        <v>0.84192566986149375</v>
      </c>
      <c r="C867" s="1594">
        <v>855</v>
      </c>
      <c r="D867" s="1665">
        <v>2719365.4824631587</v>
      </c>
    </row>
    <row r="868" spans="2:4" ht="16">
      <c r="B868" s="1632">
        <f t="shared" ca="1" si="13"/>
        <v>1.0203667402307415</v>
      </c>
      <c r="C868" s="1594">
        <v>856</v>
      </c>
      <c r="D868" s="1665">
        <v>2719365.4824631587</v>
      </c>
    </row>
    <row r="869" spans="2:4" ht="16">
      <c r="B869" s="1632">
        <f t="shared" ca="1" si="13"/>
        <v>0.94699779678077056</v>
      </c>
      <c r="C869" s="1594">
        <v>857</v>
      </c>
      <c r="D869" s="1665">
        <v>2719365.4824631587</v>
      </c>
    </row>
    <row r="870" spans="2:4" ht="16">
      <c r="B870" s="1632">
        <f t="shared" ca="1" si="13"/>
        <v>1.0206523946875681</v>
      </c>
      <c r="C870" s="1594">
        <v>858</v>
      </c>
      <c r="D870" s="1665">
        <v>2719365.4824631587</v>
      </c>
    </row>
    <row r="871" spans="2:4" ht="16">
      <c r="B871" s="1632">
        <f t="shared" ca="1" si="13"/>
        <v>0.97901867943501508</v>
      </c>
      <c r="C871" s="1594">
        <v>859</v>
      </c>
      <c r="D871" s="1665">
        <v>2719365.4824631587</v>
      </c>
    </row>
    <row r="872" spans="2:4" ht="16">
      <c r="B872" s="1632">
        <f t="shared" ca="1" si="13"/>
        <v>1.0865412356206978</v>
      </c>
      <c r="C872" s="1594">
        <v>860</v>
      </c>
      <c r="D872" s="1665">
        <v>2719365.4824631587</v>
      </c>
    </row>
    <row r="873" spans="2:4" ht="16">
      <c r="B873" s="1632">
        <f t="shared" ca="1" si="13"/>
        <v>0.86586932155624274</v>
      </c>
      <c r="C873" s="1594">
        <v>861</v>
      </c>
      <c r="D873" s="1665">
        <v>2719365.4824631587</v>
      </c>
    </row>
    <row r="874" spans="2:4" ht="16">
      <c r="B874" s="1632">
        <f t="shared" ca="1" si="13"/>
        <v>1.1234146380115346</v>
      </c>
      <c r="C874" s="1594">
        <v>862</v>
      </c>
      <c r="D874" s="1665">
        <v>2719365.4824631587</v>
      </c>
    </row>
    <row r="875" spans="2:4" ht="16">
      <c r="B875" s="1632">
        <f t="shared" ca="1" si="13"/>
        <v>0.77954384080419958</v>
      </c>
      <c r="C875" s="1594">
        <v>863</v>
      </c>
      <c r="D875" s="1665">
        <v>2719365.4824631587</v>
      </c>
    </row>
    <row r="876" spans="2:4" ht="16">
      <c r="B876" s="1632">
        <f t="shared" ca="1" si="13"/>
        <v>1.1255923570739512</v>
      </c>
      <c r="C876" s="1594">
        <v>864</v>
      </c>
      <c r="D876" s="1665">
        <v>2719365.4824631587</v>
      </c>
    </row>
    <row r="877" spans="2:4" ht="16">
      <c r="B877" s="1632">
        <f t="shared" ca="1" si="13"/>
        <v>0.90303138296024965</v>
      </c>
      <c r="C877" s="1594">
        <v>865</v>
      </c>
      <c r="D877" s="1665">
        <v>2719365.4824631587</v>
      </c>
    </row>
    <row r="878" spans="2:4" ht="16">
      <c r="B878" s="1632">
        <f t="shared" ca="1" si="13"/>
        <v>1.1337236447257379</v>
      </c>
      <c r="C878" s="1594">
        <v>866</v>
      </c>
      <c r="D878" s="1665">
        <v>2719365.4824631587</v>
      </c>
    </row>
    <row r="879" spans="2:4" ht="16">
      <c r="B879" s="1632">
        <f t="shared" ca="1" si="13"/>
        <v>0.97684775055815221</v>
      </c>
      <c r="C879" s="1594">
        <v>867</v>
      </c>
      <c r="D879" s="1665">
        <v>2719365.4824631587</v>
      </c>
    </row>
    <row r="880" spans="2:4" ht="16">
      <c r="B880" s="1632">
        <f t="shared" ca="1" si="13"/>
        <v>0.74942566398953647</v>
      </c>
      <c r="C880" s="1594">
        <v>868</v>
      </c>
      <c r="D880" s="1665">
        <v>2719365.4824631587</v>
      </c>
    </row>
    <row r="881" spans="2:4" ht="16">
      <c r="B881" s="1632">
        <f t="shared" ca="1" si="13"/>
        <v>0.77160181260560201</v>
      </c>
      <c r="C881" s="1594">
        <v>869</v>
      </c>
      <c r="D881" s="1665">
        <v>2719365.4824631587</v>
      </c>
    </row>
    <row r="882" spans="2:4" ht="16">
      <c r="B882" s="1632">
        <f t="shared" ca="1" si="13"/>
        <v>0.9647085726486001</v>
      </c>
      <c r="C882" s="1594">
        <v>870</v>
      </c>
      <c r="D882" s="1665">
        <v>2719365.4824631587</v>
      </c>
    </row>
    <row r="883" spans="2:4" ht="16">
      <c r="B883" s="1632">
        <f t="shared" ca="1" si="13"/>
        <v>1.1667999754603027</v>
      </c>
      <c r="C883" s="1594">
        <v>871</v>
      </c>
      <c r="D883" s="1665">
        <v>2719365.4824631587</v>
      </c>
    </row>
    <row r="884" spans="2:4" ht="16">
      <c r="B884" s="1632">
        <f t="shared" ca="1" si="13"/>
        <v>0.85465402051345174</v>
      </c>
      <c r="C884" s="1594">
        <v>872</v>
      </c>
      <c r="D884" s="1665">
        <v>2719365.4824631587</v>
      </c>
    </row>
    <row r="885" spans="2:4" ht="16">
      <c r="B885" s="1632">
        <f t="shared" ca="1" si="13"/>
        <v>0.96792266060874421</v>
      </c>
      <c r="C885" s="1594">
        <v>873</v>
      </c>
      <c r="D885" s="1665">
        <v>2719365.4824631587</v>
      </c>
    </row>
    <row r="886" spans="2:4" ht="16">
      <c r="B886" s="1632">
        <f t="shared" ca="1" si="13"/>
        <v>0.80768330814508726</v>
      </c>
      <c r="C886" s="1594">
        <v>874</v>
      </c>
      <c r="D886" s="1665">
        <v>2719365.4824631587</v>
      </c>
    </row>
    <row r="887" spans="2:4" ht="16">
      <c r="B887" s="1632">
        <f t="shared" ca="1" si="13"/>
        <v>0.89615325072887808</v>
      </c>
      <c r="C887" s="1594">
        <v>875</v>
      </c>
      <c r="D887" s="1665">
        <v>2719365.4824631587</v>
      </c>
    </row>
    <row r="888" spans="2:4" ht="16">
      <c r="B888" s="1632">
        <f t="shared" ca="1" si="13"/>
        <v>1.0199114124595681</v>
      </c>
      <c r="C888" s="1594">
        <v>876</v>
      </c>
      <c r="D888" s="1665">
        <v>2719365.4824631587</v>
      </c>
    </row>
    <row r="889" spans="2:4" ht="16">
      <c r="B889" s="1632">
        <f t="shared" ca="1" si="13"/>
        <v>1.2928398838571462</v>
      </c>
      <c r="C889" s="1594">
        <v>877</v>
      </c>
      <c r="D889" s="1665">
        <v>2719365.4824631587</v>
      </c>
    </row>
    <row r="890" spans="2:4" ht="16">
      <c r="B890" s="1632">
        <f t="shared" ca="1" si="13"/>
        <v>1.2019962399055504</v>
      </c>
      <c r="C890" s="1594">
        <v>878</v>
      </c>
      <c r="D890" s="1665">
        <v>2719365.4824631587</v>
      </c>
    </row>
    <row r="891" spans="2:4" ht="16">
      <c r="B891" s="1632">
        <f t="shared" ca="1" si="13"/>
        <v>1.0008589487023702</v>
      </c>
      <c r="C891" s="1594">
        <v>879</v>
      </c>
      <c r="D891" s="1665">
        <v>2719365.4824631587</v>
      </c>
    </row>
    <row r="892" spans="2:4" ht="16">
      <c r="B892" s="1632">
        <f t="shared" ca="1" si="13"/>
        <v>0.83584894414271649</v>
      </c>
      <c r="C892" s="1594">
        <v>880</v>
      </c>
      <c r="D892" s="1665">
        <v>2719365.4824631587</v>
      </c>
    </row>
    <row r="893" spans="2:4" ht="16">
      <c r="B893" s="1632">
        <f t="shared" ca="1" si="13"/>
        <v>1.1320702373501457</v>
      </c>
      <c r="C893" s="1594">
        <v>881</v>
      </c>
      <c r="D893" s="1665">
        <v>2719365.4824631587</v>
      </c>
    </row>
    <row r="894" spans="2:4" ht="16">
      <c r="B894" s="1632">
        <f t="shared" ca="1" si="13"/>
        <v>1.0032231201327879</v>
      </c>
      <c r="C894" s="1594">
        <v>882</v>
      </c>
      <c r="D894" s="1665">
        <v>2719365.4824631587</v>
      </c>
    </row>
    <row r="895" spans="2:4" ht="16">
      <c r="B895" s="1632">
        <f t="shared" ca="1" si="13"/>
        <v>1.0904227327231939</v>
      </c>
      <c r="C895" s="1594">
        <v>883</v>
      </c>
      <c r="D895" s="1665">
        <v>2719365.4824631587</v>
      </c>
    </row>
    <row r="896" spans="2:4" ht="16">
      <c r="B896" s="1632">
        <f t="shared" ca="1" si="13"/>
        <v>0.90632170358440534</v>
      </c>
      <c r="C896" s="1594">
        <v>884</v>
      </c>
      <c r="D896" s="1665">
        <v>2719365.4824631587</v>
      </c>
    </row>
    <row r="897" spans="2:4" ht="16">
      <c r="B897" s="1632">
        <f t="shared" ca="1" si="13"/>
        <v>0.90171103556866072</v>
      </c>
      <c r="C897" s="1594">
        <v>885</v>
      </c>
      <c r="D897" s="1665">
        <v>2719365.4824631587</v>
      </c>
    </row>
    <row r="898" spans="2:4" ht="16">
      <c r="B898" s="1632">
        <f t="shared" ca="1" si="13"/>
        <v>1.0132885956115361</v>
      </c>
      <c r="C898" s="1594">
        <v>886</v>
      </c>
      <c r="D898" s="1665">
        <v>2719365.4824631587</v>
      </c>
    </row>
    <row r="899" spans="2:4" ht="16">
      <c r="B899" s="1632">
        <f t="shared" ca="1" si="13"/>
        <v>1.2420137356091914</v>
      </c>
      <c r="C899" s="1594">
        <v>887</v>
      </c>
      <c r="D899" s="1665">
        <v>2719365.4824631587</v>
      </c>
    </row>
    <row r="900" spans="2:4" ht="16">
      <c r="B900" s="1632">
        <f t="shared" ca="1" si="13"/>
        <v>0.91356665672481641</v>
      </c>
      <c r="C900" s="1594">
        <v>888</v>
      </c>
      <c r="D900" s="1665">
        <v>2719365.4824631587</v>
      </c>
    </row>
    <row r="901" spans="2:4" ht="16">
      <c r="B901" s="1632">
        <f t="shared" ca="1" si="13"/>
        <v>0.80701324308489508</v>
      </c>
      <c r="C901" s="1594">
        <v>889</v>
      </c>
      <c r="D901" s="1665">
        <v>2719365.4824631587</v>
      </c>
    </row>
    <row r="902" spans="2:4" ht="16">
      <c r="B902" s="1632">
        <f t="shared" ca="1" si="13"/>
        <v>1.0432673354856534</v>
      </c>
      <c r="C902" s="1594">
        <v>890</v>
      </c>
      <c r="D902" s="1665">
        <v>2719365.4824631587</v>
      </c>
    </row>
    <row r="903" spans="2:4" ht="16">
      <c r="B903" s="1632">
        <f t="shared" ca="1" si="13"/>
        <v>0.90341344223250997</v>
      </c>
      <c r="C903" s="1594">
        <v>891</v>
      </c>
      <c r="D903" s="1665">
        <v>2719365.4824631587</v>
      </c>
    </row>
    <row r="904" spans="2:4" ht="16">
      <c r="B904" s="1632">
        <f t="shared" ca="1" si="13"/>
        <v>1.1150695841118032</v>
      </c>
      <c r="C904" s="1594">
        <v>892</v>
      </c>
      <c r="D904" s="1665">
        <v>2719365.4824631587</v>
      </c>
    </row>
    <row r="905" spans="2:4" ht="16">
      <c r="B905" s="1632">
        <f t="shared" ca="1" si="13"/>
        <v>0.68490952500029878</v>
      </c>
      <c r="C905" s="1594">
        <v>893</v>
      </c>
      <c r="D905" s="1665">
        <v>2719365.4824631587</v>
      </c>
    </row>
    <row r="906" spans="2:4" ht="16">
      <c r="B906" s="1632">
        <f t="shared" ca="1" si="13"/>
        <v>1.0201779020938679</v>
      </c>
      <c r="C906" s="1594">
        <v>894</v>
      </c>
      <c r="D906" s="1665">
        <v>2719365.4824631587</v>
      </c>
    </row>
    <row r="907" spans="2:4" ht="16">
      <c r="B907" s="1632">
        <f t="shared" ca="1" si="13"/>
        <v>1.110714261902072</v>
      </c>
      <c r="C907" s="1594">
        <v>895</v>
      </c>
      <c r="D907" s="1665">
        <v>2719365.4824631587</v>
      </c>
    </row>
    <row r="908" spans="2:4" ht="16">
      <c r="B908" s="1632">
        <f t="shared" ca="1" si="13"/>
        <v>1.0961685256710609</v>
      </c>
      <c r="C908" s="1594">
        <v>896</v>
      </c>
      <c r="D908" s="1665">
        <v>2719365.4824631587</v>
      </c>
    </row>
    <row r="909" spans="2:4" ht="16">
      <c r="B909" s="1632">
        <f t="shared" ref="B909:B972" ca="1" si="14">MAX(NORMINV(RAND(),$B$4,$B$5),0)</f>
        <v>1.4044630902501869</v>
      </c>
      <c r="C909" s="1594">
        <v>897</v>
      </c>
      <c r="D909" s="1665">
        <v>2719365.4824631587</v>
      </c>
    </row>
    <row r="910" spans="2:4" ht="16">
      <c r="B910" s="1632">
        <f t="shared" ca="1" si="14"/>
        <v>0.79034585455146988</v>
      </c>
      <c r="C910" s="1594">
        <v>898</v>
      </c>
      <c r="D910" s="1665">
        <v>2719365.4824631587</v>
      </c>
    </row>
    <row r="911" spans="2:4" ht="16">
      <c r="B911" s="1632">
        <f t="shared" ca="1" si="14"/>
        <v>1.0271850716025814</v>
      </c>
      <c r="C911" s="1594">
        <v>899</v>
      </c>
      <c r="D911" s="1665">
        <v>2719365.4824631587</v>
      </c>
    </row>
    <row r="912" spans="2:4" ht="16">
      <c r="B912" s="1632">
        <f t="shared" ca="1" si="14"/>
        <v>0.83880930944316312</v>
      </c>
      <c r="C912" s="1594">
        <v>900</v>
      </c>
      <c r="D912" s="1665">
        <v>2719365.4824631587</v>
      </c>
    </row>
    <row r="913" spans="2:4" ht="16">
      <c r="B913" s="1632">
        <f t="shared" ca="1" si="14"/>
        <v>0.98518415636455836</v>
      </c>
      <c r="C913" s="1594">
        <v>901</v>
      </c>
      <c r="D913" s="1665">
        <v>2719365.4824631587</v>
      </c>
    </row>
    <row r="914" spans="2:4" ht="16">
      <c r="B914" s="1632">
        <f t="shared" ca="1" si="14"/>
        <v>0.86037467928762368</v>
      </c>
      <c r="C914" s="1594">
        <v>902</v>
      </c>
      <c r="D914" s="1665">
        <v>2719365.4824631587</v>
      </c>
    </row>
    <row r="915" spans="2:4" ht="16">
      <c r="B915" s="1632">
        <f t="shared" ca="1" si="14"/>
        <v>1.060394452393705</v>
      </c>
      <c r="C915" s="1594">
        <v>903</v>
      </c>
      <c r="D915" s="1665">
        <v>2719365.4824631587</v>
      </c>
    </row>
    <row r="916" spans="2:4" ht="16">
      <c r="B916" s="1632">
        <f t="shared" ca="1" si="14"/>
        <v>0.93208258701456836</v>
      </c>
      <c r="C916" s="1594">
        <v>904</v>
      </c>
      <c r="D916" s="1665">
        <v>2719365.4824631587</v>
      </c>
    </row>
    <row r="917" spans="2:4" ht="16">
      <c r="B917" s="1632">
        <f t="shared" ca="1" si="14"/>
        <v>1.11943841548298</v>
      </c>
      <c r="C917" s="1594">
        <v>905</v>
      </c>
      <c r="D917" s="1665">
        <v>2719365.4824631587</v>
      </c>
    </row>
    <row r="918" spans="2:4" ht="16">
      <c r="B918" s="1632">
        <f t="shared" ca="1" si="14"/>
        <v>0.95782218515583439</v>
      </c>
      <c r="C918" s="1594">
        <v>906</v>
      </c>
      <c r="D918" s="1665">
        <v>2719365.4824631587</v>
      </c>
    </row>
    <row r="919" spans="2:4" ht="16">
      <c r="B919" s="1632">
        <f t="shared" ca="1" si="14"/>
        <v>0.99425153714285264</v>
      </c>
      <c r="C919" s="1594">
        <v>907</v>
      </c>
      <c r="D919" s="1665">
        <v>2719365.4824631587</v>
      </c>
    </row>
    <row r="920" spans="2:4" ht="16">
      <c r="B920" s="1632">
        <f t="shared" ca="1" si="14"/>
        <v>0.96017545964132966</v>
      </c>
      <c r="C920" s="1594">
        <v>908</v>
      </c>
      <c r="D920" s="1665">
        <v>2719365.4824631587</v>
      </c>
    </row>
    <row r="921" spans="2:4" ht="16">
      <c r="B921" s="1632">
        <f t="shared" ca="1" si="14"/>
        <v>1.1092793703486732</v>
      </c>
      <c r="C921" s="1594">
        <v>909</v>
      </c>
      <c r="D921" s="1665">
        <v>2719365.4824631587</v>
      </c>
    </row>
    <row r="922" spans="2:4" ht="16">
      <c r="B922" s="1632">
        <f t="shared" ca="1" si="14"/>
        <v>0.946852455044081</v>
      </c>
      <c r="C922" s="1594">
        <v>910</v>
      </c>
      <c r="D922" s="1665">
        <v>2719365.4824631587</v>
      </c>
    </row>
    <row r="923" spans="2:4" ht="16">
      <c r="B923" s="1632">
        <f t="shared" ca="1" si="14"/>
        <v>0.89616900397214905</v>
      </c>
      <c r="C923" s="1594">
        <v>911</v>
      </c>
      <c r="D923" s="1665">
        <v>2719365.4824631587</v>
      </c>
    </row>
    <row r="924" spans="2:4" ht="16">
      <c r="B924" s="1632">
        <f t="shared" ca="1" si="14"/>
        <v>1.0155214948228248</v>
      </c>
      <c r="C924" s="1594">
        <v>912</v>
      </c>
      <c r="D924" s="1665">
        <v>2719365.4824631587</v>
      </c>
    </row>
    <row r="925" spans="2:4" ht="16">
      <c r="B925" s="1632">
        <f t="shared" ca="1" si="14"/>
        <v>1.0229100742819208</v>
      </c>
      <c r="C925" s="1594">
        <v>913</v>
      </c>
      <c r="D925" s="1665">
        <v>2719365.4824631587</v>
      </c>
    </row>
    <row r="926" spans="2:4" ht="16">
      <c r="B926" s="1632">
        <f t="shared" ca="1" si="14"/>
        <v>0.99634171547749362</v>
      </c>
      <c r="C926" s="1594">
        <v>914</v>
      </c>
      <c r="D926" s="1665">
        <v>2719365.4824631587</v>
      </c>
    </row>
    <row r="927" spans="2:4" ht="16">
      <c r="B927" s="1632">
        <f t="shared" ca="1" si="14"/>
        <v>1.0456448765091535</v>
      </c>
      <c r="C927" s="1594">
        <v>915</v>
      </c>
      <c r="D927" s="1665">
        <v>2719365.4824631587</v>
      </c>
    </row>
    <row r="928" spans="2:4" ht="16">
      <c r="B928" s="1632">
        <f t="shared" ca="1" si="14"/>
        <v>1.0595679884691047</v>
      </c>
      <c r="C928" s="1594">
        <v>916</v>
      </c>
      <c r="D928" s="1665">
        <v>2719365.4824631587</v>
      </c>
    </row>
    <row r="929" spans="2:4" ht="16">
      <c r="B929" s="1632">
        <f t="shared" ca="1" si="14"/>
        <v>0.89127266465357302</v>
      </c>
      <c r="C929" s="1594">
        <v>917</v>
      </c>
      <c r="D929" s="1665">
        <v>2719365.4824631587</v>
      </c>
    </row>
    <row r="930" spans="2:4" ht="16">
      <c r="B930" s="1632">
        <f t="shared" ca="1" si="14"/>
        <v>0.88849696124749755</v>
      </c>
      <c r="C930" s="1594">
        <v>918</v>
      </c>
      <c r="D930" s="1665">
        <v>2719365.4824631587</v>
      </c>
    </row>
    <row r="931" spans="2:4" ht="16">
      <c r="B931" s="1632">
        <f t="shared" ca="1" si="14"/>
        <v>1.2027639329366506</v>
      </c>
      <c r="C931" s="1594">
        <v>919</v>
      </c>
      <c r="D931" s="1665">
        <v>2719365.4824631587</v>
      </c>
    </row>
    <row r="932" spans="2:4" ht="16">
      <c r="B932" s="1632">
        <f t="shared" ca="1" si="14"/>
        <v>0.93834973410464151</v>
      </c>
      <c r="C932" s="1594">
        <v>920</v>
      </c>
      <c r="D932" s="1665">
        <v>2719365.4824631587</v>
      </c>
    </row>
    <row r="933" spans="2:4" ht="16">
      <c r="B933" s="1632">
        <f t="shared" ca="1" si="14"/>
        <v>1.0976558954384177</v>
      </c>
      <c r="C933" s="1594">
        <v>921</v>
      </c>
      <c r="D933" s="1665">
        <v>2719365.4824631587</v>
      </c>
    </row>
    <row r="934" spans="2:4" ht="16">
      <c r="B934" s="1632">
        <f t="shared" ca="1" si="14"/>
        <v>0.92690449184616952</v>
      </c>
      <c r="C934" s="1594">
        <v>922</v>
      </c>
      <c r="D934" s="1665">
        <v>2719365.4824631587</v>
      </c>
    </row>
    <row r="935" spans="2:4" ht="16">
      <c r="B935" s="1632">
        <f t="shared" ca="1" si="14"/>
        <v>0.84953874499575233</v>
      </c>
      <c r="C935" s="1594">
        <v>923</v>
      </c>
      <c r="D935" s="1665">
        <v>2719365.4824631587</v>
      </c>
    </row>
    <row r="936" spans="2:4" ht="16">
      <c r="B936" s="1632">
        <f t="shared" ca="1" si="14"/>
        <v>1.1466830859028225</v>
      </c>
      <c r="C936" s="1594">
        <v>924</v>
      </c>
      <c r="D936" s="1665">
        <v>2719365.4824631587</v>
      </c>
    </row>
    <row r="937" spans="2:4" ht="16">
      <c r="B937" s="1632">
        <f t="shared" ca="1" si="14"/>
        <v>0.98501911337613057</v>
      </c>
      <c r="C937" s="1594">
        <v>925</v>
      </c>
      <c r="D937" s="1665">
        <v>2719365.4824631587</v>
      </c>
    </row>
    <row r="938" spans="2:4" ht="16">
      <c r="B938" s="1632">
        <f t="shared" ca="1" si="14"/>
        <v>1.0987694612367311</v>
      </c>
      <c r="C938" s="1594">
        <v>926</v>
      </c>
      <c r="D938" s="1665">
        <v>2719365.4824631587</v>
      </c>
    </row>
    <row r="939" spans="2:4" ht="16">
      <c r="B939" s="1632">
        <f t="shared" ca="1" si="14"/>
        <v>1.1546588200485937</v>
      </c>
      <c r="C939" s="1594">
        <v>927</v>
      </c>
      <c r="D939" s="1665">
        <v>2719365.4824631587</v>
      </c>
    </row>
    <row r="940" spans="2:4" ht="16">
      <c r="B940" s="1632">
        <f t="shared" ca="1" si="14"/>
        <v>1.0028555020956671</v>
      </c>
      <c r="C940" s="1594">
        <v>928</v>
      </c>
      <c r="D940" s="1665">
        <v>2719365.4824631587</v>
      </c>
    </row>
    <row r="941" spans="2:4" ht="16">
      <c r="B941" s="1632">
        <f t="shared" ca="1" si="14"/>
        <v>0.89666277060528188</v>
      </c>
      <c r="C941" s="1594">
        <v>929</v>
      </c>
      <c r="D941" s="1665">
        <v>2719365.4824631587</v>
      </c>
    </row>
    <row r="942" spans="2:4" ht="16">
      <c r="B942" s="1632">
        <f t="shared" ca="1" si="14"/>
        <v>0.86686977862018233</v>
      </c>
      <c r="C942" s="1594">
        <v>930</v>
      </c>
      <c r="D942" s="1665">
        <v>2719365.4824631587</v>
      </c>
    </row>
    <row r="943" spans="2:4" ht="16">
      <c r="B943" s="1632">
        <f t="shared" ca="1" si="14"/>
        <v>0.94826580594941035</v>
      </c>
      <c r="C943" s="1594">
        <v>931</v>
      </c>
      <c r="D943" s="1665">
        <v>2719365.4824631587</v>
      </c>
    </row>
    <row r="944" spans="2:4" ht="16">
      <c r="B944" s="1632">
        <f t="shared" ca="1" si="14"/>
        <v>1.0197221812461832</v>
      </c>
      <c r="C944" s="1594">
        <v>932</v>
      </c>
      <c r="D944" s="1665">
        <v>2719365.4824631587</v>
      </c>
    </row>
    <row r="945" spans="2:4" ht="16">
      <c r="B945" s="1632">
        <f t="shared" ca="1" si="14"/>
        <v>1.0027475652350319</v>
      </c>
      <c r="C945" s="1594">
        <v>933</v>
      </c>
      <c r="D945" s="1665">
        <v>2719365.4824631587</v>
      </c>
    </row>
    <row r="946" spans="2:4" ht="16">
      <c r="B946" s="1632">
        <f t="shared" ca="1" si="14"/>
        <v>0.95762711603920458</v>
      </c>
      <c r="C946" s="1594">
        <v>934</v>
      </c>
      <c r="D946" s="1665">
        <v>2719365.4824631587</v>
      </c>
    </row>
    <row r="947" spans="2:4" ht="16">
      <c r="B947" s="1632">
        <f t="shared" ca="1" si="14"/>
        <v>1.0796579894643703</v>
      </c>
      <c r="C947" s="1594">
        <v>935</v>
      </c>
      <c r="D947" s="1665">
        <v>2719365.4824631587</v>
      </c>
    </row>
    <row r="948" spans="2:4" ht="16">
      <c r="B948" s="1632">
        <f t="shared" ca="1" si="14"/>
        <v>1.1475318916649115</v>
      </c>
      <c r="C948" s="1594">
        <v>936</v>
      </c>
      <c r="D948" s="1665">
        <v>2719365.4824631587</v>
      </c>
    </row>
    <row r="949" spans="2:4" ht="16">
      <c r="B949" s="1632">
        <f t="shared" ca="1" si="14"/>
        <v>0.83599468606063732</v>
      </c>
      <c r="C949" s="1594">
        <v>937</v>
      </c>
      <c r="D949" s="1665">
        <v>2719365.4824631587</v>
      </c>
    </row>
    <row r="950" spans="2:4" ht="16">
      <c r="B950" s="1632">
        <f t="shared" ca="1" si="14"/>
        <v>0.93872723921984436</v>
      </c>
      <c r="C950" s="1594">
        <v>938</v>
      </c>
      <c r="D950" s="1665">
        <v>2719365.4824631587</v>
      </c>
    </row>
    <row r="951" spans="2:4" ht="16">
      <c r="B951" s="1632">
        <f t="shared" ca="1" si="14"/>
        <v>0.94005988810835361</v>
      </c>
      <c r="C951" s="1594">
        <v>939</v>
      </c>
      <c r="D951" s="1665">
        <v>2719365.4824631587</v>
      </c>
    </row>
    <row r="952" spans="2:4" ht="16">
      <c r="B952" s="1632">
        <f t="shared" ca="1" si="14"/>
        <v>1.0644250284951109</v>
      </c>
      <c r="C952" s="1594">
        <v>940</v>
      </c>
      <c r="D952" s="1665">
        <v>2719365.4824631587</v>
      </c>
    </row>
    <row r="953" spans="2:4" ht="16">
      <c r="B953" s="1632">
        <f t="shared" ca="1" si="14"/>
        <v>0.7781187324308998</v>
      </c>
      <c r="C953" s="1594">
        <v>941</v>
      </c>
      <c r="D953" s="1665">
        <v>2719365.4824631587</v>
      </c>
    </row>
    <row r="954" spans="2:4" ht="16">
      <c r="B954" s="1632">
        <f t="shared" ca="1" si="14"/>
        <v>0.7932786458523724</v>
      </c>
      <c r="C954" s="1594">
        <v>942</v>
      </c>
      <c r="D954" s="1665">
        <v>2719365.4824631587</v>
      </c>
    </row>
    <row r="955" spans="2:4" ht="16">
      <c r="B955" s="1632">
        <f t="shared" ca="1" si="14"/>
        <v>1.2341402493783891</v>
      </c>
      <c r="C955" s="1594">
        <v>943</v>
      </c>
      <c r="D955" s="1665">
        <v>2719365.4824631587</v>
      </c>
    </row>
    <row r="956" spans="2:4" ht="16">
      <c r="B956" s="1632">
        <f t="shared" ca="1" si="14"/>
        <v>0.78086774707006901</v>
      </c>
      <c r="C956" s="1594">
        <v>944</v>
      </c>
      <c r="D956" s="1665">
        <v>2719365.4824631587</v>
      </c>
    </row>
    <row r="957" spans="2:4" ht="16">
      <c r="B957" s="1632">
        <f t="shared" ca="1" si="14"/>
        <v>1.0064480654201018</v>
      </c>
      <c r="C957" s="1594">
        <v>945</v>
      </c>
      <c r="D957" s="1665">
        <v>2719365.4824631587</v>
      </c>
    </row>
    <row r="958" spans="2:4" ht="16">
      <c r="B958" s="1632">
        <f t="shared" ca="1" si="14"/>
        <v>1.0205547935550789</v>
      </c>
      <c r="C958" s="1594">
        <v>946</v>
      </c>
      <c r="D958" s="1665">
        <v>2719365.4824631587</v>
      </c>
    </row>
    <row r="959" spans="2:4" ht="16">
      <c r="B959" s="1632">
        <f t="shared" ca="1" si="14"/>
        <v>1.1399896074277678</v>
      </c>
      <c r="C959" s="1594">
        <v>947</v>
      </c>
      <c r="D959" s="1665">
        <v>2719365.4824631587</v>
      </c>
    </row>
    <row r="960" spans="2:4" ht="16">
      <c r="B960" s="1632">
        <f t="shared" ca="1" si="14"/>
        <v>1.0483305242864545</v>
      </c>
      <c r="C960" s="1594">
        <v>948</v>
      </c>
      <c r="D960" s="1665">
        <v>2719365.4824631587</v>
      </c>
    </row>
    <row r="961" spans="2:4" ht="16">
      <c r="B961" s="1632">
        <f t="shared" ca="1" si="14"/>
        <v>1.2074726592031428</v>
      </c>
      <c r="C961" s="1594">
        <v>949</v>
      </c>
      <c r="D961" s="1665">
        <v>2719365.4824631587</v>
      </c>
    </row>
    <row r="962" spans="2:4" ht="16">
      <c r="B962" s="1632">
        <f t="shared" ca="1" si="14"/>
        <v>1.0173774063701682</v>
      </c>
      <c r="C962" s="1594">
        <v>950</v>
      </c>
      <c r="D962" s="1665">
        <v>2719365.4824631587</v>
      </c>
    </row>
    <row r="963" spans="2:4" ht="16">
      <c r="B963" s="1632">
        <f t="shared" ca="1" si="14"/>
        <v>0.82396061104592722</v>
      </c>
      <c r="C963" s="1594">
        <v>951</v>
      </c>
      <c r="D963" s="1665">
        <v>2719365.4824631587</v>
      </c>
    </row>
    <row r="964" spans="2:4" ht="16">
      <c r="B964" s="1632">
        <f t="shared" ca="1" si="14"/>
        <v>0.99881740654629791</v>
      </c>
      <c r="C964" s="1594">
        <v>952</v>
      </c>
      <c r="D964" s="1665">
        <v>2719365.4824631587</v>
      </c>
    </row>
    <row r="965" spans="2:4" ht="16">
      <c r="B965" s="1632">
        <f t="shared" ca="1" si="14"/>
        <v>0.87553732344077095</v>
      </c>
      <c r="C965" s="1594">
        <v>953</v>
      </c>
      <c r="D965" s="1665">
        <v>2719365.4824631587</v>
      </c>
    </row>
    <row r="966" spans="2:4" ht="16">
      <c r="B966" s="1632">
        <f t="shared" ca="1" si="14"/>
        <v>1.1452959534404781</v>
      </c>
      <c r="C966" s="1594">
        <v>954</v>
      </c>
      <c r="D966" s="1665">
        <v>2719365.4824631587</v>
      </c>
    </row>
    <row r="967" spans="2:4" ht="16">
      <c r="B967" s="1632">
        <f t="shared" ca="1" si="14"/>
        <v>0.9208838869454794</v>
      </c>
      <c r="C967" s="1594">
        <v>955</v>
      </c>
      <c r="D967" s="1665">
        <v>2719365.4824631587</v>
      </c>
    </row>
    <row r="968" spans="2:4" ht="16">
      <c r="B968" s="1632">
        <f t="shared" ca="1" si="14"/>
        <v>1.058516807389672</v>
      </c>
      <c r="C968" s="1594">
        <v>956</v>
      </c>
      <c r="D968" s="1665">
        <v>2719365.4824631587</v>
      </c>
    </row>
    <row r="969" spans="2:4" ht="16">
      <c r="B969" s="1632">
        <f t="shared" ca="1" si="14"/>
        <v>0.83155330818066397</v>
      </c>
      <c r="C969" s="1594">
        <v>957</v>
      </c>
      <c r="D969" s="1665">
        <v>2719365.4824631587</v>
      </c>
    </row>
    <row r="970" spans="2:4" ht="16">
      <c r="B970" s="1632">
        <f t="shared" ca="1" si="14"/>
        <v>0.9331868577672815</v>
      </c>
      <c r="C970" s="1594">
        <v>958</v>
      </c>
      <c r="D970" s="1665">
        <v>2719365.4824631587</v>
      </c>
    </row>
    <row r="971" spans="2:4" ht="16">
      <c r="B971" s="1632">
        <f t="shared" ca="1" si="14"/>
        <v>1.0717535408217294</v>
      </c>
      <c r="C971" s="1594">
        <v>959</v>
      </c>
      <c r="D971" s="1665">
        <v>2719365.4824631587</v>
      </c>
    </row>
    <row r="972" spans="2:4" ht="16">
      <c r="B972" s="1632">
        <f t="shared" ca="1" si="14"/>
        <v>1.0259670023797713</v>
      </c>
      <c r="C972" s="1594">
        <v>960</v>
      </c>
      <c r="D972" s="1665">
        <v>2719365.4824631587</v>
      </c>
    </row>
    <row r="973" spans="2:4" ht="16">
      <c r="B973" s="1632">
        <f t="shared" ref="B973:B1012" ca="1" si="15">MAX(NORMINV(RAND(),$B$4,$B$5),0)</f>
        <v>1.1366266805530438</v>
      </c>
      <c r="C973" s="1594">
        <v>961</v>
      </c>
      <c r="D973" s="1665">
        <v>2719365.4824631587</v>
      </c>
    </row>
    <row r="974" spans="2:4" ht="16">
      <c r="B974" s="1632">
        <f t="shared" ca="1" si="15"/>
        <v>0.93912196940269232</v>
      </c>
      <c r="C974" s="1594">
        <v>962</v>
      </c>
      <c r="D974" s="1665">
        <v>2719365.4824631587</v>
      </c>
    </row>
    <row r="975" spans="2:4" ht="16">
      <c r="B975" s="1632">
        <f t="shared" ca="1" si="15"/>
        <v>1.1624449059602491</v>
      </c>
      <c r="C975" s="1594">
        <v>963</v>
      </c>
      <c r="D975" s="1665">
        <v>2719365.4824631587</v>
      </c>
    </row>
    <row r="976" spans="2:4" ht="16">
      <c r="B976" s="1632">
        <f t="shared" ca="1" si="15"/>
        <v>0.94520269691825853</v>
      </c>
      <c r="C976" s="1594">
        <v>964</v>
      </c>
      <c r="D976" s="1665">
        <v>2719365.4824631587</v>
      </c>
    </row>
    <row r="977" spans="2:4" ht="16">
      <c r="B977" s="1632">
        <f t="shared" ca="1" si="15"/>
        <v>0.67930884861551943</v>
      </c>
      <c r="C977" s="1594">
        <v>965</v>
      </c>
      <c r="D977" s="1665">
        <v>2719365.4824631587</v>
      </c>
    </row>
    <row r="978" spans="2:4" ht="16">
      <c r="B978" s="1632">
        <f t="shared" ca="1" si="15"/>
        <v>0.92595480301242739</v>
      </c>
      <c r="C978" s="1594">
        <v>966</v>
      </c>
      <c r="D978" s="1665">
        <v>2719365.4824631587</v>
      </c>
    </row>
    <row r="979" spans="2:4" ht="16">
      <c r="B979" s="1632">
        <f t="shared" ca="1" si="15"/>
        <v>0.89675881144283454</v>
      </c>
      <c r="C979" s="1594">
        <v>967</v>
      </c>
      <c r="D979" s="1665">
        <v>2719365.4824631587</v>
      </c>
    </row>
    <row r="980" spans="2:4" ht="16">
      <c r="B980" s="1632">
        <f t="shared" ca="1" si="15"/>
        <v>1.0754028939567544</v>
      </c>
      <c r="C980" s="1594">
        <v>968</v>
      </c>
      <c r="D980" s="1665">
        <v>2719365.4824631587</v>
      </c>
    </row>
    <row r="981" spans="2:4" ht="16">
      <c r="B981" s="1632">
        <f t="shared" ca="1" si="15"/>
        <v>1.0231042399769552</v>
      </c>
      <c r="C981" s="1594">
        <v>969</v>
      </c>
      <c r="D981" s="1665">
        <v>2719365.4824631587</v>
      </c>
    </row>
    <row r="982" spans="2:4" ht="16">
      <c r="B982" s="1632">
        <f t="shared" ca="1" si="15"/>
        <v>0.97056323948954959</v>
      </c>
      <c r="C982" s="1594">
        <v>970</v>
      </c>
      <c r="D982" s="1665">
        <v>2719365.4824631587</v>
      </c>
    </row>
    <row r="983" spans="2:4" ht="16">
      <c r="B983" s="1632">
        <f t="shared" ca="1" si="15"/>
        <v>1.0848687482339112</v>
      </c>
      <c r="C983" s="1594">
        <v>971</v>
      </c>
      <c r="D983" s="1665">
        <v>2719365.4824631587</v>
      </c>
    </row>
    <row r="984" spans="2:4" ht="16">
      <c r="B984" s="1632">
        <f t="shared" ca="1" si="15"/>
        <v>1.0118020188319061</v>
      </c>
      <c r="C984" s="1594">
        <v>972</v>
      </c>
      <c r="D984" s="1665">
        <v>2719365.4824631587</v>
      </c>
    </row>
    <row r="985" spans="2:4" ht="16">
      <c r="B985" s="1632">
        <f t="shared" ca="1" si="15"/>
        <v>1.1270101632743739</v>
      </c>
      <c r="C985" s="1594">
        <v>973</v>
      </c>
      <c r="D985" s="1665">
        <v>2719365.4824631587</v>
      </c>
    </row>
    <row r="986" spans="2:4" ht="16">
      <c r="B986" s="1632">
        <f t="shared" ca="1" si="15"/>
        <v>0.82625950222114641</v>
      </c>
      <c r="C986" s="1594">
        <v>974</v>
      </c>
      <c r="D986" s="1665">
        <v>2719365.4824631587</v>
      </c>
    </row>
    <row r="987" spans="2:4" ht="16">
      <c r="B987" s="1632">
        <f t="shared" ca="1" si="15"/>
        <v>1.0663659266582264</v>
      </c>
      <c r="C987" s="1594">
        <v>975</v>
      </c>
      <c r="D987" s="1665">
        <v>2719365.4824631587</v>
      </c>
    </row>
    <row r="988" spans="2:4" ht="16">
      <c r="B988" s="1632">
        <f t="shared" ca="1" si="15"/>
        <v>0.99000034257323211</v>
      </c>
      <c r="C988" s="1594">
        <v>976</v>
      </c>
      <c r="D988" s="1665">
        <v>2719365.4824631587</v>
      </c>
    </row>
    <row r="989" spans="2:4" ht="16">
      <c r="B989" s="1632">
        <f t="shared" ca="1" si="15"/>
        <v>1.1273597362798609</v>
      </c>
      <c r="C989" s="1594">
        <v>977</v>
      </c>
      <c r="D989" s="1665">
        <v>2719365.4824631587</v>
      </c>
    </row>
    <row r="990" spans="2:4" ht="16">
      <c r="B990" s="1632">
        <f t="shared" ca="1" si="15"/>
        <v>0.84961834063504149</v>
      </c>
      <c r="C990" s="1594">
        <v>978</v>
      </c>
      <c r="D990" s="1665">
        <v>2719365.4824631587</v>
      </c>
    </row>
    <row r="991" spans="2:4" ht="16">
      <c r="B991" s="1632">
        <f t="shared" ca="1" si="15"/>
        <v>0.98960458057361611</v>
      </c>
      <c r="C991" s="1594">
        <v>979</v>
      </c>
      <c r="D991" s="1665">
        <v>2719365.4824631587</v>
      </c>
    </row>
    <row r="992" spans="2:4" ht="16">
      <c r="B992" s="1632">
        <f t="shared" ca="1" si="15"/>
        <v>0.79952245407255074</v>
      </c>
      <c r="C992" s="1594">
        <v>980</v>
      </c>
      <c r="D992" s="1665">
        <v>2719365.4824631587</v>
      </c>
    </row>
    <row r="993" spans="2:4" ht="16">
      <c r="B993" s="1632">
        <f t="shared" ca="1" si="15"/>
        <v>0.83844927402865044</v>
      </c>
      <c r="C993" s="1594">
        <v>981</v>
      </c>
      <c r="D993" s="1665">
        <v>2719365.4824631587</v>
      </c>
    </row>
    <row r="994" spans="2:4" ht="16">
      <c r="B994" s="1632">
        <f t="shared" ca="1" si="15"/>
        <v>1.1940393205186906</v>
      </c>
      <c r="C994" s="1594">
        <v>982</v>
      </c>
      <c r="D994" s="1665">
        <v>2719365.4824631587</v>
      </c>
    </row>
    <row r="995" spans="2:4" ht="16">
      <c r="B995" s="1632">
        <f t="shared" ca="1" si="15"/>
        <v>0.90828181107547501</v>
      </c>
      <c r="C995" s="1594">
        <v>983</v>
      </c>
      <c r="D995" s="1665">
        <v>2719365.4824631587</v>
      </c>
    </row>
    <row r="996" spans="2:4" ht="16">
      <c r="B996" s="1632">
        <f t="shared" ca="1" si="15"/>
        <v>1.0705701415619222</v>
      </c>
      <c r="C996" s="1594">
        <v>984</v>
      </c>
      <c r="D996" s="1665">
        <v>2719365.4824631587</v>
      </c>
    </row>
    <row r="997" spans="2:4" ht="16">
      <c r="B997" s="1632">
        <f t="shared" ca="1" si="15"/>
        <v>0.96961313902970059</v>
      </c>
      <c r="C997" s="1594">
        <v>985</v>
      </c>
      <c r="D997" s="1665">
        <v>2719365.4824631587</v>
      </c>
    </row>
    <row r="998" spans="2:4" ht="16">
      <c r="B998" s="1632">
        <f t="shared" ca="1" si="15"/>
        <v>0.93392172486946623</v>
      </c>
      <c r="C998" s="1594">
        <v>986</v>
      </c>
      <c r="D998" s="1665">
        <v>2719365.4824631587</v>
      </c>
    </row>
    <row r="999" spans="2:4" ht="16">
      <c r="B999" s="1632">
        <f t="shared" ca="1" si="15"/>
        <v>1.0867647124876156</v>
      </c>
      <c r="C999" s="1594">
        <v>987</v>
      </c>
      <c r="D999" s="1665">
        <v>2719365.4824631587</v>
      </c>
    </row>
    <row r="1000" spans="2:4" ht="16">
      <c r="B1000" s="1632">
        <f t="shared" ca="1" si="15"/>
        <v>0.78763381253731535</v>
      </c>
      <c r="C1000" s="1594">
        <v>988</v>
      </c>
      <c r="D1000" s="1665">
        <v>2719365.4824631587</v>
      </c>
    </row>
    <row r="1001" spans="2:4" ht="16">
      <c r="B1001" s="1632">
        <f t="shared" ca="1" si="15"/>
        <v>0.8043885342404048</v>
      </c>
      <c r="C1001" s="1594">
        <v>989</v>
      </c>
      <c r="D1001" s="1665">
        <v>2719365.4824631587</v>
      </c>
    </row>
    <row r="1002" spans="2:4" ht="16">
      <c r="B1002" s="1632">
        <f t="shared" ca="1" si="15"/>
        <v>1.1117499409267038</v>
      </c>
      <c r="C1002" s="1594">
        <v>990</v>
      </c>
      <c r="D1002" s="1665">
        <v>2719365.4824631587</v>
      </c>
    </row>
    <row r="1003" spans="2:4" ht="16">
      <c r="B1003" s="1632">
        <f t="shared" ca="1" si="15"/>
        <v>0.82334477707386289</v>
      </c>
      <c r="C1003" s="1594">
        <v>991</v>
      </c>
      <c r="D1003" s="1665">
        <v>2719365.4824631587</v>
      </c>
    </row>
    <row r="1004" spans="2:4" ht="16">
      <c r="B1004" s="1632">
        <f t="shared" ca="1" si="15"/>
        <v>0.88745660558117656</v>
      </c>
      <c r="C1004" s="1594">
        <v>992</v>
      </c>
      <c r="D1004" s="1665">
        <v>2719365.4824631587</v>
      </c>
    </row>
    <row r="1005" spans="2:4" ht="16">
      <c r="B1005" s="1632">
        <f t="shared" ca="1" si="15"/>
        <v>1.0076804291478598</v>
      </c>
      <c r="C1005" s="1594">
        <v>993</v>
      </c>
      <c r="D1005" s="1665">
        <v>2719365.4824631587</v>
      </c>
    </row>
    <row r="1006" spans="2:4" ht="16">
      <c r="B1006" s="1632">
        <f t="shared" ca="1" si="15"/>
        <v>0.98473004072838954</v>
      </c>
      <c r="C1006" s="1594">
        <v>994</v>
      </c>
      <c r="D1006" s="1665">
        <v>2719365.4824631587</v>
      </c>
    </row>
    <row r="1007" spans="2:4" ht="16">
      <c r="B1007" s="1632">
        <f t="shared" ca="1" si="15"/>
        <v>0.71574544673665352</v>
      </c>
      <c r="C1007" s="1594">
        <v>995</v>
      </c>
      <c r="D1007" s="1665">
        <v>2719365.4824631587</v>
      </c>
    </row>
    <row r="1008" spans="2:4" ht="16">
      <c r="B1008" s="1632">
        <f t="shared" ca="1" si="15"/>
        <v>1.2868709840955361</v>
      </c>
      <c r="C1008" s="1594">
        <v>996</v>
      </c>
      <c r="D1008" s="1665">
        <v>2719365.4824631587</v>
      </c>
    </row>
    <row r="1009" spans="2:4" ht="16">
      <c r="B1009" s="1632">
        <f t="shared" ca="1" si="15"/>
        <v>0.94613333792628318</v>
      </c>
      <c r="C1009" s="1594">
        <v>997</v>
      </c>
      <c r="D1009" s="1665">
        <v>2719365.4824631587</v>
      </c>
    </row>
    <row r="1010" spans="2:4" ht="16">
      <c r="B1010" s="1632">
        <f t="shared" ca="1" si="15"/>
        <v>1.0421816576170075</v>
      </c>
      <c r="C1010" s="1594">
        <v>998</v>
      </c>
      <c r="D1010" s="1665">
        <v>2719365.4824631587</v>
      </c>
    </row>
    <row r="1011" spans="2:4" ht="16">
      <c r="B1011" s="1632">
        <f t="shared" ca="1" si="15"/>
        <v>0.87634401128310002</v>
      </c>
      <c r="C1011" s="1594">
        <v>999</v>
      </c>
      <c r="D1011" s="1665">
        <v>2719365.4824631587</v>
      </c>
    </row>
    <row r="1012" spans="2:4" ht="16">
      <c r="B1012" s="1632">
        <f t="shared" ca="1" si="15"/>
        <v>1.0709975530312223</v>
      </c>
      <c r="C1012" s="1594">
        <v>1000</v>
      </c>
      <c r="D1012" s="1665">
        <v>2719365.4824631587</v>
      </c>
    </row>
  </sheetData>
  <mergeCells count="5">
    <mergeCell ref="F1:G1"/>
    <mergeCell ref="C2:D2"/>
    <mergeCell ref="C9:D9"/>
    <mergeCell ref="I2:L2"/>
    <mergeCell ref="C8:E8"/>
  </mergeCells>
  <hyperlinks>
    <hyperlink ref="D1" location="Index!A1" display="Index" xr:uid="{E994F319-EF70-46AC-9741-4AA4D607C6CB}"/>
    <hyperlink ref="L11" r:id="rId1" xr:uid="{DD78A7AD-2240-45AA-987A-AC396759E17D}"/>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45D9-7436-4134-AC20-9B22A70B8726}">
  <sheetPr>
    <tabColor rgb="FF9900FF"/>
    <outlinePr summaryBelow="0" summaryRight="0"/>
  </sheetPr>
  <dimension ref="A1:Q1012"/>
  <sheetViews>
    <sheetView topLeftCell="G1" zoomScaleNormal="70" workbookViewId="0">
      <selection activeCell="N28" sqref="N28"/>
    </sheetView>
  </sheetViews>
  <sheetFormatPr baseColWidth="10" defaultColWidth="14.33203125" defaultRowHeight="15.75" customHeight="1"/>
  <cols>
    <col min="1" max="1" width="26.33203125" style="1418" bestFit="1" customWidth="1"/>
    <col min="2" max="2" width="21" style="1418" customWidth="1"/>
    <col min="3" max="3" width="14.5" style="1418" bestFit="1" customWidth="1"/>
    <col min="4" max="4" width="15.6640625" style="1418" bestFit="1" customWidth="1"/>
    <col min="5" max="5" width="14.33203125" style="1418"/>
    <col min="6" max="6" width="21.33203125" style="1418" bestFit="1" customWidth="1"/>
    <col min="7" max="7" width="14.5" style="1418" bestFit="1" customWidth="1"/>
    <col min="8" max="10" width="14.33203125" style="1418"/>
    <col min="11" max="11" width="46.5" style="1418" bestFit="1" customWidth="1"/>
    <col min="12" max="12" width="12.1640625" style="1418" customWidth="1"/>
    <col min="13" max="14" width="14.5" style="1418" bestFit="1" customWidth="1"/>
    <col min="15" max="15" width="68.33203125" style="1418" bestFit="1" customWidth="1"/>
    <col min="16" max="16384" width="14.33203125" style="1418"/>
  </cols>
  <sheetData>
    <row r="1" spans="1:17" ht="18" thickBot="1">
      <c r="A1" s="1641" t="s">
        <v>1087</v>
      </c>
      <c r="B1" s="1594"/>
      <c r="C1" s="1447" t="s">
        <v>10</v>
      </c>
      <c r="D1" s="1640" t="s">
        <v>0</v>
      </c>
      <c r="F1" s="2098" t="s">
        <v>1046</v>
      </c>
      <c r="G1" s="2099"/>
      <c r="K1" s="1680"/>
      <c r="L1" s="1679" t="s">
        <v>982</v>
      </c>
      <c r="M1" s="1678" t="s">
        <v>1041</v>
      </c>
      <c r="N1" s="1677" t="s">
        <v>984</v>
      </c>
      <c r="O1" s="1676" t="s">
        <v>1086</v>
      </c>
      <c r="P1" s="1675" t="s">
        <v>1085</v>
      </c>
      <c r="Q1" s="1674"/>
    </row>
    <row r="2" spans="1:17" ht="15.75" customHeight="1">
      <c r="A2" s="1635" t="s">
        <v>1045</v>
      </c>
      <c r="B2" s="1639" t="s">
        <v>991</v>
      </c>
      <c r="F2" s="1447" t="s">
        <v>949</v>
      </c>
      <c r="G2" s="1628">
        <f>AVERAGE(D13:D1012)</f>
        <v>2719365.4824631806</v>
      </c>
      <c r="K2" s="1673" t="s">
        <v>349</v>
      </c>
      <c r="L2" s="1672">
        <v>15.99</v>
      </c>
      <c r="M2" s="1667">
        <v>19.93</v>
      </c>
      <c r="N2" s="1671">
        <v>30</v>
      </c>
      <c r="O2" s="1660" t="s">
        <v>1084</v>
      </c>
      <c r="P2" s="1659" t="s">
        <v>1083</v>
      </c>
      <c r="Q2" s="1658"/>
    </row>
    <row r="3" spans="1:17" ht="15.75" customHeight="1">
      <c r="A3" s="1635" t="s">
        <v>1043</v>
      </c>
      <c r="B3" s="1639" t="s">
        <v>1018</v>
      </c>
      <c r="C3" s="1670">
        <f ca="1">RAND()</f>
        <v>0.31290742721881715</v>
      </c>
      <c r="F3" s="1447" t="s">
        <v>1017</v>
      </c>
      <c r="G3" s="1628">
        <f>MEDIAN(D13:D1012)</f>
        <v>2719365.4824631587</v>
      </c>
      <c r="K3" s="1668" t="s">
        <v>352</v>
      </c>
      <c r="L3" s="1663">
        <v>2.0699999999999998</v>
      </c>
      <c r="M3" s="1667">
        <v>3</v>
      </c>
      <c r="N3" s="1661">
        <v>4.16</v>
      </c>
      <c r="O3" s="1660" t="s">
        <v>1082</v>
      </c>
      <c r="P3" s="1659" t="s">
        <v>1081</v>
      </c>
      <c r="Q3" s="1658"/>
    </row>
    <row r="4" spans="1:17" ht="15.75" customHeight="1">
      <c r="A4" s="1635" t="s">
        <v>1080</v>
      </c>
      <c r="B4" s="1670">
        <v>0.73</v>
      </c>
      <c r="F4" s="1447" t="s">
        <v>1016</v>
      </c>
      <c r="G4" s="1628">
        <f>STDEV(D13:D1012)</f>
        <v>2.1897031757841057E-8</v>
      </c>
      <c r="K4" s="1668" t="s">
        <v>354</v>
      </c>
      <c r="L4" s="1663">
        <v>2.99</v>
      </c>
      <c r="M4" s="1667">
        <v>3.99</v>
      </c>
      <c r="N4" s="1661">
        <v>5</v>
      </c>
      <c r="O4" s="1660" t="s">
        <v>1050</v>
      </c>
      <c r="P4" s="1659" t="s">
        <v>1079</v>
      </c>
      <c r="Q4" s="1664" t="s">
        <v>1078</v>
      </c>
    </row>
    <row r="5" spans="1:17" ht="15.75" customHeight="1">
      <c r="A5" s="1635" t="s">
        <v>1077</v>
      </c>
      <c r="B5" s="1670">
        <v>1</v>
      </c>
      <c r="C5" s="1418" t="s">
        <v>1041</v>
      </c>
      <c r="F5" s="1447" t="s">
        <v>1015</v>
      </c>
      <c r="G5" s="1628">
        <f>PERCENTILE(D13:D1012,0.25)</f>
        <v>2719365.4824631587</v>
      </c>
      <c r="K5" s="1469" t="s">
        <v>355</v>
      </c>
      <c r="L5" s="1663">
        <v>0.1</v>
      </c>
      <c r="M5" s="1662">
        <v>0.8</v>
      </c>
      <c r="N5" s="1661">
        <v>3</v>
      </c>
      <c r="O5" s="1660" t="s">
        <v>1076</v>
      </c>
      <c r="P5" s="1659" t="s">
        <v>1075</v>
      </c>
      <c r="Q5" s="1658"/>
    </row>
    <row r="6" spans="1:17" ht="15.75" customHeight="1">
      <c r="A6" s="1635" t="s">
        <v>1074</v>
      </c>
      <c r="B6" s="1670">
        <v>2.1</v>
      </c>
      <c r="F6" s="1447" t="s">
        <v>1014</v>
      </c>
      <c r="G6" s="1628">
        <f>PERCENTILE(D13:D1012,0.75)</f>
        <v>2719365.4824631587</v>
      </c>
      <c r="K6" s="1668" t="s">
        <v>358</v>
      </c>
      <c r="L6" s="1663">
        <v>1.35</v>
      </c>
      <c r="M6" s="1667">
        <v>2.5</v>
      </c>
      <c r="N6" s="1661">
        <v>5</v>
      </c>
      <c r="O6" s="1660" t="s">
        <v>1050</v>
      </c>
      <c r="P6" s="1659" t="s">
        <v>1073</v>
      </c>
      <c r="Q6" s="1664" t="s">
        <v>1072</v>
      </c>
    </row>
    <row r="7" spans="1:17" ht="15.75" customHeight="1">
      <c r="A7" s="1635" t="s">
        <v>1034</v>
      </c>
      <c r="B7" s="1632">
        <f ca="1">IF(C$3&lt;=(B$5-B$4)/(B$6-B$4),$B$4+SQRT(C$3*(B$6-B$4)*(B$5-B$4)),B$6-SQRT((1-C$3)*(B$6-B$4)*(-B$5+B$6)))</f>
        <v>1.0824300971524154</v>
      </c>
      <c r="F7" s="1447" t="s">
        <v>1008</v>
      </c>
      <c r="G7" s="1628">
        <f>PERCENTILE(D13:D1012,0.025)</f>
        <v>2719365.4824631587</v>
      </c>
      <c r="K7" s="1469" t="s">
        <v>360</v>
      </c>
      <c r="L7" s="1663">
        <v>0.03</v>
      </c>
      <c r="M7" s="1662">
        <v>0.05</v>
      </c>
      <c r="N7" s="1661">
        <v>0.5</v>
      </c>
      <c r="O7" s="1660" t="s">
        <v>1050</v>
      </c>
      <c r="P7" s="1659" t="s">
        <v>1071</v>
      </c>
      <c r="Q7" s="1664" t="s">
        <v>1070</v>
      </c>
    </row>
    <row r="8" spans="1:17" ht="15.75" customHeight="1">
      <c r="A8" s="1635" t="s">
        <v>1031</v>
      </c>
      <c r="B8" s="1669">
        <f>IF(OR('QM Simulation Summary'!A2=2,'QM Simulation Summary'!A2=3),B7,1)</f>
        <v>1</v>
      </c>
      <c r="C8" s="2100" t="s">
        <v>1069</v>
      </c>
      <c r="D8" s="2100"/>
      <c r="F8" s="1447" t="s">
        <v>1029</v>
      </c>
      <c r="G8" s="1628">
        <f>PERCENTILE(D13:D1012,0.975)</f>
        <v>2719365.4824631587</v>
      </c>
      <c r="K8" s="1668" t="s">
        <v>362</v>
      </c>
      <c r="L8" s="1663">
        <v>2.75</v>
      </c>
      <c r="M8" s="1667">
        <v>3.18</v>
      </c>
      <c r="N8" s="1661">
        <v>12.1</v>
      </c>
      <c r="O8" s="1660" t="s">
        <v>1050</v>
      </c>
      <c r="P8" s="1659" t="s">
        <v>1068</v>
      </c>
      <c r="Q8" s="1664" t="s">
        <v>1067</v>
      </c>
    </row>
    <row r="9" spans="1:17" ht="15.75" customHeight="1">
      <c r="A9" s="1635" t="s">
        <v>1006</v>
      </c>
      <c r="B9" s="1628">
        <f>'FE Cash Flow'!B21</f>
        <v>2719365.4824631587</v>
      </c>
      <c r="C9" s="2100" t="s">
        <v>1027</v>
      </c>
      <c r="D9" s="2100"/>
      <c r="F9" s="1447" t="s">
        <v>1013</v>
      </c>
      <c r="G9" s="1628">
        <f>PERCENTILE(D13:D1012,0.05)</f>
        <v>2719365.4824631587</v>
      </c>
      <c r="K9" s="1469" t="s">
        <v>363</v>
      </c>
      <c r="L9" s="1663">
        <v>0.2</v>
      </c>
      <c r="M9" s="1662">
        <v>0.28000000000000003</v>
      </c>
      <c r="N9" s="1661">
        <v>2.75</v>
      </c>
      <c r="O9" s="1660" t="s">
        <v>1050</v>
      </c>
      <c r="P9" s="1659" t="s">
        <v>1066</v>
      </c>
      <c r="Q9" s="1658"/>
    </row>
    <row r="10" spans="1:17" ht="15.75" customHeight="1">
      <c r="A10" s="1594"/>
      <c r="B10" s="1594"/>
      <c r="F10" s="1447" t="s">
        <v>8</v>
      </c>
      <c r="G10" s="1628">
        <f>MIN(D13:D1012)</f>
        <v>2719365.4824631587</v>
      </c>
      <c r="K10" s="1469" t="s">
        <v>364</v>
      </c>
      <c r="L10" s="1663">
        <v>0.41</v>
      </c>
      <c r="M10" s="1662">
        <v>0.45</v>
      </c>
      <c r="N10" s="1661">
        <v>0.91</v>
      </c>
      <c r="O10" s="1660" t="s">
        <v>1050</v>
      </c>
      <c r="P10" s="1659" t="s">
        <v>1065</v>
      </c>
      <c r="Q10" s="1664" t="s">
        <v>1064</v>
      </c>
    </row>
    <row r="11" spans="1:17" ht="15.75" customHeight="1">
      <c r="A11" s="1448" t="s">
        <v>1063</v>
      </c>
      <c r="B11" s="1448" t="s">
        <v>1025</v>
      </c>
      <c r="C11" s="1633" t="s">
        <v>1024</v>
      </c>
      <c r="D11" s="1633" t="s">
        <v>1146</v>
      </c>
      <c r="F11" s="1447" t="s">
        <v>9</v>
      </c>
      <c r="G11" s="1628">
        <f>MAX(D13:D1012)</f>
        <v>2719365.4824631587</v>
      </c>
      <c r="K11" s="1469" t="s">
        <v>365</v>
      </c>
      <c r="L11" s="1663">
        <v>0.95</v>
      </c>
      <c r="M11" s="1662">
        <v>0.99</v>
      </c>
      <c r="N11" s="1661">
        <v>2.99</v>
      </c>
      <c r="O11" s="1660" t="s">
        <v>1050</v>
      </c>
      <c r="P11" s="1659" t="s">
        <v>1062</v>
      </c>
      <c r="Q11" s="1664" t="s">
        <v>1061</v>
      </c>
    </row>
    <row r="12" spans="1:17" ht="15.75" customHeight="1">
      <c r="A12" s="1594"/>
      <c r="B12" s="1594"/>
      <c r="C12" s="1594"/>
      <c r="D12" s="1666">
        <f>B9</f>
        <v>2719365.4824631587</v>
      </c>
      <c r="F12" s="1447" t="s">
        <v>1012</v>
      </c>
      <c r="G12" s="1627">
        <f>COUNTIF(D13:D1012,"&lt;0")/1000</f>
        <v>0</v>
      </c>
      <c r="K12" s="1469" t="s">
        <v>366</v>
      </c>
      <c r="L12" s="1663">
        <v>1.05</v>
      </c>
      <c r="M12" s="1662">
        <v>1.35</v>
      </c>
      <c r="N12" s="1661">
        <v>3.86</v>
      </c>
      <c r="O12" s="1660" t="s">
        <v>1050</v>
      </c>
      <c r="P12" s="1659" t="s">
        <v>1060</v>
      </c>
      <c r="Q12" s="1664" t="s">
        <v>1059</v>
      </c>
    </row>
    <row r="13" spans="1:17" ht="15.75" customHeight="1">
      <c r="A13" s="1632">
        <f t="shared" ref="A13:A76" ca="1" si="0">RAND()</f>
        <v>1.6074162787724888E-2</v>
      </c>
      <c r="B13" s="1632">
        <f t="shared" ref="B13:B76" ca="1" si="1">IF(A13&lt;=(B$5-B$4)/(B$6-B$4),$B$4+SQRT(A13*(B$6-B$4)*(B$5-B$4)),B$6-SQRT((1-A13)*(B$6-B$4)*(-B$5+B$6)))</f>
        <v>0.80710922652432349</v>
      </c>
      <c r="C13" s="1594">
        <v>1</v>
      </c>
      <c r="D13" s="1665">
        <f t="dataTable" ref="D13:D1012" dt2D="0" dtr="0" r1="E12"/>
        <v>2719365.4824631587</v>
      </c>
      <c r="F13" s="1447" t="s">
        <v>1022</v>
      </c>
      <c r="K13" s="1469" t="s">
        <v>367</v>
      </c>
      <c r="L13" s="1663">
        <v>0.3</v>
      </c>
      <c r="M13" s="1662">
        <v>0.5</v>
      </c>
      <c r="N13" s="1661">
        <v>1.79</v>
      </c>
      <c r="O13" s="1660" t="s">
        <v>1050</v>
      </c>
      <c r="P13" s="1659" t="s">
        <v>1058</v>
      </c>
      <c r="Q13" s="1664" t="s">
        <v>1057</v>
      </c>
    </row>
    <row r="14" spans="1:17" ht="16" customHeight="1">
      <c r="A14" s="1632">
        <f t="shared" ca="1" si="0"/>
        <v>0.58691827395816576</v>
      </c>
      <c r="B14" s="1632">
        <f t="shared" ca="1" si="1"/>
        <v>1.3110043338870332</v>
      </c>
      <c r="C14" s="1594">
        <v>2</v>
      </c>
      <c r="D14" s="1665">
        <v>2719365.4824631587</v>
      </c>
      <c r="K14" s="1469" t="s">
        <v>368</v>
      </c>
      <c r="L14" s="1663">
        <v>0.1</v>
      </c>
      <c r="M14" s="1662">
        <v>0.8</v>
      </c>
      <c r="N14" s="1661">
        <v>2.85</v>
      </c>
      <c r="O14" s="1660" t="s">
        <v>1050</v>
      </c>
      <c r="P14" s="1659" t="s">
        <v>1056</v>
      </c>
      <c r="Q14" s="1658"/>
    </row>
    <row r="15" spans="1:17" ht="15" customHeight="1">
      <c r="A15" s="1632">
        <f t="shared" ca="1" si="0"/>
        <v>0.12484402860256438</v>
      </c>
      <c r="B15" s="1632">
        <f t="shared" ca="1" si="1"/>
        <v>0.94489487239133596</v>
      </c>
      <c r="C15" s="1594">
        <v>3</v>
      </c>
      <c r="D15" s="1665">
        <v>2719365.4824631587</v>
      </c>
      <c r="K15" s="1469" t="s">
        <v>369</v>
      </c>
      <c r="L15" s="1663">
        <v>0.24</v>
      </c>
      <c r="M15" s="1662">
        <v>0.8</v>
      </c>
      <c r="N15" s="1661">
        <v>2.9</v>
      </c>
      <c r="O15" s="1660" t="s">
        <v>1050</v>
      </c>
      <c r="P15" s="1659" t="s">
        <v>1055</v>
      </c>
      <c r="Q15" s="1658"/>
    </row>
    <row r="16" spans="1:17" ht="16" customHeight="1">
      <c r="A16" s="1632">
        <f t="shared" ca="1" si="0"/>
        <v>0.97430204526220787</v>
      </c>
      <c r="B16" s="1632">
        <f t="shared" ca="1" si="1"/>
        <v>1.9032086948316753</v>
      </c>
      <c r="C16" s="1594">
        <v>4</v>
      </c>
      <c r="D16" s="1665">
        <v>2719365.4824631587</v>
      </c>
      <c r="K16" s="1469" t="s">
        <v>370</v>
      </c>
      <c r="L16" s="1663">
        <v>0.5</v>
      </c>
      <c r="M16" s="1662">
        <v>1.2</v>
      </c>
      <c r="N16" s="1661">
        <v>4.1500000000000004</v>
      </c>
      <c r="O16" s="1660" t="s">
        <v>1050</v>
      </c>
      <c r="P16" s="1659" t="s">
        <v>1054</v>
      </c>
      <c r="Q16" s="1664" t="s">
        <v>1053</v>
      </c>
    </row>
    <row r="17" spans="1:17" ht="17" customHeight="1">
      <c r="A17" s="1632">
        <f t="shared" ca="1" si="0"/>
        <v>0.97812623374979157</v>
      </c>
      <c r="B17" s="1632">
        <f t="shared" ca="1" si="1"/>
        <v>1.9184407376665567</v>
      </c>
      <c r="C17" s="1594">
        <v>5</v>
      </c>
      <c r="D17" s="1665">
        <v>2719365.4824631587</v>
      </c>
      <c r="K17" s="1469" t="s">
        <v>371</v>
      </c>
      <c r="L17" s="1663">
        <v>0.8</v>
      </c>
      <c r="M17" s="1662">
        <v>1</v>
      </c>
      <c r="N17" s="1661">
        <v>3.4</v>
      </c>
      <c r="O17" s="1660" t="s">
        <v>1050</v>
      </c>
      <c r="P17" s="1659" t="s">
        <v>1052</v>
      </c>
      <c r="Q17" s="1658"/>
    </row>
    <row r="18" spans="1:17" ht="18" customHeight="1">
      <c r="A18" s="1632">
        <f t="shared" ca="1" si="0"/>
        <v>0.76824100690040176</v>
      </c>
      <c r="B18" s="1632">
        <f t="shared" ca="1" si="1"/>
        <v>1.5090170877249542</v>
      </c>
      <c r="C18" s="1594">
        <v>6</v>
      </c>
      <c r="D18" s="1665">
        <v>2719365.4824631587</v>
      </c>
      <c r="K18" s="1469" t="s">
        <v>372</v>
      </c>
      <c r="L18" s="1663">
        <v>0.1</v>
      </c>
      <c r="M18" s="1662">
        <v>0.25</v>
      </c>
      <c r="N18" s="1661">
        <v>1</v>
      </c>
      <c r="O18" s="1660" t="s">
        <v>1050</v>
      </c>
      <c r="P18" s="1659" t="s">
        <v>1051</v>
      </c>
      <c r="Q18" s="1658"/>
    </row>
    <row r="19" spans="1:17" ht="19" customHeight="1" thickBot="1">
      <c r="A19" s="1632">
        <f t="shared" ca="1" si="0"/>
        <v>0.53496030720753052</v>
      </c>
      <c r="B19" s="1632">
        <f t="shared" ca="1" si="1"/>
        <v>1.2628531687701066</v>
      </c>
      <c r="C19" s="1594">
        <v>7</v>
      </c>
      <c r="D19" s="1665">
        <v>2719365.4824631587</v>
      </c>
      <c r="K19" s="1470" t="s">
        <v>374</v>
      </c>
      <c r="L19" s="1657">
        <v>0.45</v>
      </c>
      <c r="M19" s="1656">
        <v>0.5</v>
      </c>
      <c r="N19" s="1655">
        <v>1</v>
      </c>
      <c r="O19" s="1654" t="s">
        <v>1050</v>
      </c>
      <c r="P19" s="1653" t="s">
        <v>1049</v>
      </c>
      <c r="Q19" s="1652"/>
    </row>
    <row r="20" spans="1:17" ht="16">
      <c r="A20" s="1632">
        <f t="shared" ca="1" si="0"/>
        <v>0.51390939426283866</v>
      </c>
      <c r="B20" s="1632">
        <f t="shared" ca="1" si="1"/>
        <v>1.2441153448940083</v>
      </c>
      <c r="C20" s="1594">
        <v>8</v>
      </c>
      <c r="D20" s="1665">
        <v>2719365.4824631587</v>
      </c>
      <c r="K20" s="1651" t="s">
        <v>1048</v>
      </c>
      <c r="L20" s="1650">
        <f>SUM(L2:L19)</f>
        <v>30.380000000000003</v>
      </c>
      <c r="M20" s="1649">
        <f>SUM(M2:M19)</f>
        <v>41.570000000000007</v>
      </c>
      <c r="N20" s="1648">
        <f>SUM(N2:N19)</f>
        <v>87.360000000000014</v>
      </c>
      <c r="O20" s="1718"/>
      <c r="P20" s="1717"/>
      <c r="Q20" s="1716"/>
    </row>
    <row r="21" spans="1:17" ht="17" thickBot="1">
      <c r="A21" s="1632">
        <f t="shared" ca="1" si="0"/>
        <v>3.7424363875734779E-2</v>
      </c>
      <c r="B21" s="1632">
        <f t="shared" ca="1" si="1"/>
        <v>0.84765743579406405</v>
      </c>
      <c r="C21" s="1594">
        <v>9</v>
      </c>
      <c r="D21" s="1665">
        <v>2719365.4824631587</v>
      </c>
      <c r="K21" s="1647"/>
      <c r="L21" s="1646">
        <f>L20/$M$20</f>
        <v>0.7308154919413038</v>
      </c>
      <c r="M21" s="1645">
        <f>M20/$M$20</f>
        <v>1</v>
      </c>
      <c r="N21" s="1644">
        <f>N20/$M$20</f>
        <v>2.1015155159971131</v>
      </c>
      <c r="O21" s="1647"/>
      <c r="P21" s="1715"/>
      <c r="Q21" s="1714"/>
    </row>
    <row r="22" spans="1:17" ht="16">
      <c r="A22" s="1632">
        <f t="shared" ca="1" si="0"/>
        <v>0.68386295762443217</v>
      </c>
      <c r="B22" s="1632">
        <f t="shared" ca="1" si="1"/>
        <v>1.4097692249254741</v>
      </c>
      <c r="C22" s="1594">
        <v>10</v>
      </c>
      <c r="D22" s="1665">
        <v>2719365.4824631587</v>
      </c>
    </row>
    <row r="23" spans="1:17" ht="16">
      <c r="A23" s="1632">
        <f t="shared" ca="1" si="0"/>
        <v>0.86915945557193219</v>
      </c>
      <c r="B23" s="1632">
        <f t="shared" ca="1" si="1"/>
        <v>1.6559541685218764</v>
      </c>
      <c r="C23" s="1594">
        <v>11</v>
      </c>
      <c r="D23" s="1665">
        <v>2719365.4824631587</v>
      </c>
      <c r="K23" s="1417"/>
    </row>
    <row r="24" spans="1:17" ht="16">
      <c r="A24" s="1632">
        <f t="shared" ca="1" si="0"/>
        <v>0.12528724307841854</v>
      </c>
      <c r="B24" s="1632">
        <f t="shared" ca="1" si="1"/>
        <v>0.94527598847690153</v>
      </c>
      <c r="C24" s="1594">
        <v>12</v>
      </c>
      <c r="D24" s="1665">
        <v>2719365.4824631587</v>
      </c>
      <c r="N24" s="1643"/>
    </row>
    <row r="25" spans="1:17" ht="16">
      <c r="A25" s="1632">
        <f t="shared" ca="1" si="0"/>
        <v>0.66650653563326678</v>
      </c>
      <c r="B25" s="1632">
        <f t="shared" ca="1" si="1"/>
        <v>1.3910750034025694</v>
      </c>
      <c r="C25" s="1594">
        <v>13</v>
      </c>
      <c r="D25" s="1665">
        <v>2719365.4824631587</v>
      </c>
      <c r="N25" s="1643"/>
    </row>
    <row r="26" spans="1:17" ht="16">
      <c r="A26" s="1632">
        <f t="shared" ca="1" si="0"/>
        <v>0.27273514859430026</v>
      </c>
      <c r="B26" s="1632">
        <f t="shared" ca="1" si="1"/>
        <v>1.0531054823582322</v>
      </c>
      <c r="C26" s="1594">
        <v>14</v>
      </c>
      <c r="D26" s="1665">
        <v>2719365.4824631587</v>
      </c>
      <c r="N26" s="1643"/>
    </row>
    <row r="27" spans="1:17" ht="16">
      <c r="A27" s="1632">
        <f t="shared" ca="1" si="0"/>
        <v>0.48731469662538174</v>
      </c>
      <c r="B27" s="1632">
        <f t="shared" ca="1" si="1"/>
        <v>1.2210137929492011</v>
      </c>
      <c r="C27" s="1594">
        <v>15</v>
      </c>
      <c r="D27" s="1665">
        <v>2719365.4824631587</v>
      </c>
      <c r="N27" s="1642"/>
    </row>
    <row r="28" spans="1:17" ht="16">
      <c r="A28" s="1632">
        <f t="shared" ca="1" si="0"/>
        <v>0.89672042655296591</v>
      </c>
      <c r="B28" s="1632">
        <f t="shared" ca="1" si="1"/>
        <v>1.7054847060192972</v>
      </c>
      <c r="C28" s="1594">
        <v>16</v>
      </c>
      <c r="D28" s="1665">
        <v>2719365.4824631587</v>
      </c>
      <c r="N28" s="1643"/>
    </row>
    <row r="29" spans="1:17" ht="16">
      <c r="A29" s="1632">
        <f t="shared" ca="1" si="0"/>
        <v>0.96750225092409292</v>
      </c>
      <c r="B29" s="1632">
        <f t="shared" ca="1" si="1"/>
        <v>1.8786990559048788</v>
      </c>
      <c r="C29" s="1594">
        <v>17</v>
      </c>
      <c r="D29" s="1665">
        <v>2719365.4824631587</v>
      </c>
      <c r="N29" s="1642"/>
    </row>
    <row r="30" spans="1:17" ht="16">
      <c r="A30" s="1632">
        <f t="shared" ca="1" si="0"/>
        <v>0.62375699439900312</v>
      </c>
      <c r="B30" s="1632">
        <f t="shared" ca="1" si="1"/>
        <v>1.3470071650801037</v>
      </c>
      <c r="C30" s="1594">
        <v>18</v>
      </c>
      <c r="D30" s="1665">
        <v>2719365.4824631587</v>
      </c>
      <c r="N30" s="1643"/>
    </row>
    <row r="31" spans="1:17" ht="16">
      <c r="A31" s="1632">
        <f t="shared" ca="1" si="0"/>
        <v>0.80921840481661889</v>
      </c>
      <c r="B31" s="1632">
        <f t="shared" ca="1" si="1"/>
        <v>1.563802402148839</v>
      </c>
      <c r="C31" s="1594">
        <v>19</v>
      </c>
      <c r="D31" s="1665">
        <v>2719365.4824631587</v>
      </c>
      <c r="N31" s="1642"/>
    </row>
    <row r="32" spans="1:17" ht="16">
      <c r="A32" s="1632">
        <f t="shared" ca="1" si="0"/>
        <v>0.57025540438948685</v>
      </c>
      <c r="B32" s="1632">
        <f t="shared" ca="1" si="1"/>
        <v>1.2952484199549259</v>
      </c>
      <c r="C32" s="1594">
        <v>20</v>
      </c>
      <c r="D32" s="1665">
        <v>2719365.4824631587</v>
      </c>
      <c r="N32" s="1642"/>
    </row>
    <row r="33" spans="1:14" ht="16">
      <c r="A33" s="1632">
        <f t="shared" ca="1" si="0"/>
        <v>0.75159568168721824</v>
      </c>
      <c r="B33" s="1632">
        <f t="shared" ca="1" si="1"/>
        <v>1.4881623518470262</v>
      </c>
      <c r="C33" s="1594">
        <v>21</v>
      </c>
      <c r="D33" s="1665">
        <v>2719365.4824631587</v>
      </c>
      <c r="N33" s="1642"/>
    </row>
    <row r="34" spans="1:14" ht="16">
      <c r="A34" s="1632">
        <f t="shared" ca="1" si="0"/>
        <v>0.40851013601658737</v>
      </c>
      <c r="B34" s="1632">
        <f t="shared" ca="1" si="1"/>
        <v>1.1558733003335819</v>
      </c>
      <c r="C34" s="1594">
        <v>22</v>
      </c>
      <c r="D34" s="1665">
        <v>2719365.4824631587</v>
      </c>
      <c r="N34" s="1642"/>
    </row>
    <row r="35" spans="1:14" ht="16">
      <c r="A35" s="1632">
        <f t="shared" ca="1" si="0"/>
        <v>0.32150411728856176</v>
      </c>
      <c r="B35" s="1632">
        <f t="shared" ca="1" si="1"/>
        <v>1.0888158944850164</v>
      </c>
      <c r="C35" s="1594">
        <v>23</v>
      </c>
      <c r="D35" s="1665">
        <v>2719365.4824631587</v>
      </c>
      <c r="N35" s="1642"/>
    </row>
    <row r="36" spans="1:14" ht="16">
      <c r="A36" s="1632">
        <f t="shared" ca="1" si="0"/>
        <v>0.40337113589904694</v>
      </c>
      <c r="B36" s="1632">
        <f t="shared" ca="1" si="1"/>
        <v>1.1517807752422775</v>
      </c>
      <c r="C36" s="1594">
        <v>24</v>
      </c>
      <c r="D36" s="1665">
        <v>2719365.4824631587</v>
      </c>
      <c r="N36" s="1642"/>
    </row>
    <row r="37" spans="1:14" ht="16">
      <c r="A37" s="1632">
        <f t="shared" ca="1" si="0"/>
        <v>0.38559500292673077</v>
      </c>
      <c r="B37" s="1632">
        <f t="shared" ca="1" si="1"/>
        <v>1.1377586941991022</v>
      </c>
      <c r="C37" s="1594">
        <v>25</v>
      </c>
      <c r="D37" s="1665">
        <v>2719365.4824631587</v>
      </c>
      <c r="N37" s="1642"/>
    </row>
    <row r="38" spans="1:14" ht="16">
      <c r="A38" s="1632">
        <f t="shared" ca="1" si="0"/>
        <v>0.49466260406194507</v>
      </c>
      <c r="B38" s="1632">
        <f t="shared" ca="1" si="1"/>
        <v>1.2273354277394728</v>
      </c>
      <c r="C38" s="1594">
        <v>26</v>
      </c>
      <c r="D38" s="1665">
        <v>2719365.4824631587</v>
      </c>
      <c r="N38" s="1642"/>
    </row>
    <row r="39" spans="1:14" ht="16">
      <c r="A39" s="1632">
        <f t="shared" ca="1" si="0"/>
        <v>2.6163255838735133E-2</v>
      </c>
      <c r="B39" s="1632">
        <f t="shared" ca="1" si="1"/>
        <v>0.82837575074553749</v>
      </c>
      <c r="C39" s="1594">
        <v>27</v>
      </c>
      <c r="D39" s="1665">
        <v>2719365.4824631587</v>
      </c>
      <c r="N39" s="1642"/>
    </row>
    <row r="40" spans="1:14" ht="16">
      <c r="A40" s="1632">
        <f t="shared" ca="1" si="0"/>
        <v>0.30422095511558933</v>
      </c>
      <c r="B40" s="1632">
        <f t="shared" ca="1" si="1"/>
        <v>1.0760180564869286</v>
      </c>
      <c r="C40" s="1594">
        <v>28</v>
      </c>
      <c r="D40" s="1665">
        <v>2719365.4824631587</v>
      </c>
      <c r="N40" s="1642"/>
    </row>
    <row r="41" spans="1:14" ht="16">
      <c r="A41" s="1632">
        <f t="shared" ca="1" si="0"/>
        <v>0.77869460034416593</v>
      </c>
      <c r="B41" s="1632">
        <f t="shared" ca="1" si="1"/>
        <v>1.5224991452115919</v>
      </c>
      <c r="C41" s="1594">
        <v>29</v>
      </c>
      <c r="D41" s="1665">
        <v>2719365.4824631587</v>
      </c>
      <c r="N41" s="1642"/>
    </row>
    <row r="42" spans="1:14" ht="16">
      <c r="A42" s="1632">
        <f t="shared" ca="1" si="0"/>
        <v>0.82344635581113301</v>
      </c>
      <c r="B42" s="1632">
        <f t="shared" ca="1" si="1"/>
        <v>1.5841838100712402</v>
      </c>
      <c r="C42" s="1594">
        <v>30</v>
      </c>
      <c r="D42" s="1665">
        <v>2719365.4824631587</v>
      </c>
    </row>
    <row r="43" spans="1:14" ht="16">
      <c r="A43" s="1632">
        <f t="shared" ca="1" si="0"/>
        <v>0.60547242414099567</v>
      </c>
      <c r="B43" s="1632">
        <f t="shared" ca="1" si="1"/>
        <v>1.3289273336322189</v>
      </c>
      <c r="C43" s="1594">
        <v>31</v>
      </c>
      <c r="D43" s="1665">
        <v>2719365.4824631587</v>
      </c>
    </row>
    <row r="44" spans="1:14" ht="16">
      <c r="A44" s="1632">
        <f t="shared" ca="1" si="0"/>
        <v>0.19716018434884819</v>
      </c>
      <c r="B44" s="1632">
        <f t="shared" ca="1" si="1"/>
        <v>1.0000547276403766</v>
      </c>
      <c r="C44" s="1594">
        <v>32</v>
      </c>
      <c r="D44" s="1665">
        <v>2719365.4824631587</v>
      </c>
    </row>
    <row r="45" spans="1:14" ht="16">
      <c r="A45" s="1632">
        <f t="shared" ca="1" si="0"/>
        <v>0.17307871939684938</v>
      </c>
      <c r="B45" s="1632">
        <f t="shared" ca="1" si="1"/>
        <v>0.98302533135023173</v>
      </c>
      <c r="C45" s="1594">
        <v>33</v>
      </c>
      <c r="D45" s="1665">
        <v>2719365.4824631587</v>
      </c>
    </row>
    <row r="46" spans="1:14" ht="16">
      <c r="A46" s="1632">
        <f t="shared" ca="1" si="0"/>
        <v>0.52110771478732332</v>
      </c>
      <c r="B46" s="1632">
        <f t="shared" ca="1" si="1"/>
        <v>1.2504762076224682</v>
      </c>
      <c r="C46" s="1594">
        <v>34</v>
      </c>
      <c r="D46" s="1665">
        <v>2719365.4824631587</v>
      </c>
    </row>
    <row r="47" spans="1:14" ht="16">
      <c r="A47" s="1632">
        <f t="shared" ca="1" si="0"/>
        <v>0.33085738867099967</v>
      </c>
      <c r="B47" s="1632">
        <f t="shared" ca="1" si="1"/>
        <v>1.0958098211629417</v>
      </c>
      <c r="C47" s="1594">
        <v>35</v>
      </c>
      <c r="D47" s="1665">
        <v>2719365.4824631587</v>
      </c>
    </row>
    <row r="48" spans="1:14" ht="16">
      <c r="A48" s="1632">
        <f t="shared" ca="1" si="0"/>
        <v>0.47907268764006472</v>
      </c>
      <c r="B48" s="1632">
        <f t="shared" ca="1" si="1"/>
        <v>1.2139766031721158</v>
      </c>
      <c r="C48" s="1594">
        <v>36</v>
      </c>
      <c r="D48" s="1665">
        <v>2719365.4824631587</v>
      </c>
    </row>
    <row r="49" spans="1:4" ht="16">
      <c r="A49" s="1632">
        <f t="shared" ca="1" si="0"/>
        <v>0.84826454192315692</v>
      </c>
      <c r="B49" s="1632">
        <f t="shared" ca="1" si="1"/>
        <v>1.6218103563210486</v>
      </c>
      <c r="C49" s="1594">
        <v>37</v>
      </c>
      <c r="D49" s="1665">
        <v>2719365.4824631587</v>
      </c>
    </row>
    <row r="50" spans="1:4" ht="16">
      <c r="A50" s="1632">
        <f t="shared" ca="1" si="0"/>
        <v>0.93065866547721476</v>
      </c>
      <c r="B50" s="1632">
        <f t="shared" ca="1" si="1"/>
        <v>1.7767394377196046</v>
      </c>
      <c r="C50" s="1594">
        <v>38</v>
      </c>
      <c r="D50" s="1665">
        <v>2719365.4824631587</v>
      </c>
    </row>
    <row r="51" spans="1:4" ht="16">
      <c r="A51" s="1632">
        <f t="shared" ca="1" si="0"/>
        <v>0.71994495757103294</v>
      </c>
      <c r="B51" s="1632">
        <f t="shared" ca="1" si="1"/>
        <v>1.450351672871812</v>
      </c>
      <c r="C51" s="1594">
        <v>39</v>
      </c>
      <c r="D51" s="1665">
        <v>2719365.4824631587</v>
      </c>
    </row>
    <row r="52" spans="1:4" ht="16">
      <c r="A52" s="1632">
        <f t="shared" ca="1" si="0"/>
        <v>0.32846294115928565</v>
      </c>
      <c r="B52" s="1632">
        <f t="shared" ca="1" si="1"/>
        <v>1.0940147378450535</v>
      </c>
      <c r="C52" s="1594">
        <v>40</v>
      </c>
      <c r="D52" s="1665">
        <v>2719365.4824631587</v>
      </c>
    </row>
    <row r="53" spans="1:4" ht="16">
      <c r="A53" s="1632">
        <f t="shared" ca="1" si="0"/>
        <v>0.80886910384624777</v>
      </c>
      <c r="B53" s="1632">
        <f t="shared" ca="1" si="1"/>
        <v>1.5633117660096278</v>
      </c>
      <c r="C53" s="1594">
        <v>41</v>
      </c>
      <c r="D53" s="1665">
        <v>2719365.4824631587</v>
      </c>
    </row>
    <row r="54" spans="1:4" ht="16">
      <c r="A54" s="1632">
        <f t="shared" ca="1" si="0"/>
        <v>4.6686299072076443E-2</v>
      </c>
      <c r="B54" s="1632">
        <f t="shared" ca="1" si="1"/>
        <v>0.86141256418912571</v>
      </c>
      <c r="C54" s="1594">
        <v>42</v>
      </c>
      <c r="D54" s="1665">
        <v>2719365.4824631587</v>
      </c>
    </row>
    <row r="55" spans="1:4" ht="16">
      <c r="A55" s="1632">
        <f t="shared" ca="1" si="0"/>
        <v>0.38948839962940374</v>
      </c>
      <c r="B55" s="1632">
        <f t="shared" ca="1" si="1"/>
        <v>1.1408123323569632</v>
      </c>
      <c r="C55" s="1594">
        <v>43</v>
      </c>
      <c r="D55" s="1665">
        <v>2719365.4824631587</v>
      </c>
    </row>
    <row r="56" spans="1:4" ht="16">
      <c r="A56" s="1632">
        <f t="shared" ca="1" si="0"/>
        <v>0.34064128339042032</v>
      </c>
      <c r="B56" s="1632">
        <f t="shared" ca="1" si="1"/>
        <v>1.1031782576956717</v>
      </c>
      <c r="C56" s="1594">
        <v>44</v>
      </c>
      <c r="D56" s="1665">
        <v>2719365.4824631587</v>
      </c>
    </row>
    <row r="57" spans="1:4" ht="16">
      <c r="A57" s="1632">
        <f t="shared" ca="1" si="0"/>
        <v>0.7948571920786397</v>
      </c>
      <c r="B57" s="1632">
        <f t="shared" ca="1" si="1"/>
        <v>1.5439872199872653</v>
      </c>
      <c r="C57" s="1594">
        <v>45</v>
      </c>
      <c r="D57" s="1665">
        <v>2719365.4824631587</v>
      </c>
    </row>
    <row r="58" spans="1:4" ht="16">
      <c r="A58" s="1632">
        <f t="shared" ca="1" si="0"/>
        <v>0.49604272512521785</v>
      </c>
      <c r="B58" s="1632">
        <f t="shared" ca="1" si="1"/>
        <v>1.2285279044993485</v>
      </c>
      <c r="C58" s="1594">
        <v>46</v>
      </c>
      <c r="D58" s="1665">
        <v>2719365.4824631587</v>
      </c>
    </row>
    <row r="59" spans="1:4" ht="16">
      <c r="A59" s="1632">
        <f t="shared" ca="1" si="0"/>
        <v>0.88280944982954279</v>
      </c>
      <c r="B59" s="1632">
        <f t="shared" ca="1" si="1"/>
        <v>1.6797546441578695</v>
      </c>
      <c r="C59" s="1594">
        <v>47</v>
      </c>
      <c r="D59" s="1665">
        <v>2719365.4824631587</v>
      </c>
    </row>
    <row r="60" spans="1:4" ht="16">
      <c r="A60" s="1632">
        <f t="shared" ca="1" si="0"/>
        <v>8.8117270645866608E-2</v>
      </c>
      <c r="B60" s="1632">
        <f t="shared" ca="1" si="1"/>
        <v>0.91053968652876871</v>
      </c>
      <c r="C60" s="1594">
        <v>48</v>
      </c>
      <c r="D60" s="1665">
        <v>2719365.4824631587</v>
      </c>
    </row>
    <row r="61" spans="1:4" ht="16">
      <c r="A61" s="1632">
        <f t="shared" ca="1" si="0"/>
        <v>0.71277626586524689</v>
      </c>
      <c r="B61" s="1632">
        <f t="shared" ca="1" si="1"/>
        <v>1.4420895445875077</v>
      </c>
      <c r="C61" s="1594">
        <v>49</v>
      </c>
      <c r="D61" s="1665">
        <v>2719365.4824631587</v>
      </c>
    </row>
    <row r="62" spans="1:4" ht="16">
      <c r="A62" s="1632">
        <f t="shared" ca="1" si="0"/>
        <v>0.72213457827798255</v>
      </c>
      <c r="B62" s="1632">
        <f t="shared" ca="1" si="1"/>
        <v>1.4528963061957687</v>
      </c>
      <c r="C62" s="1594">
        <v>50</v>
      </c>
      <c r="D62" s="1665">
        <v>2719365.4824631587</v>
      </c>
    </row>
    <row r="63" spans="1:4" ht="16">
      <c r="A63" s="1632">
        <f t="shared" ca="1" si="0"/>
        <v>0.11617293911712134</v>
      </c>
      <c r="B63" s="1632">
        <f t="shared" ca="1" si="1"/>
        <v>0.93729778141461906</v>
      </c>
      <c r="C63" s="1594">
        <v>51</v>
      </c>
      <c r="D63" s="1665">
        <v>2719365.4824631587</v>
      </c>
    </row>
    <row r="64" spans="1:4" ht="16">
      <c r="A64" s="1632">
        <f t="shared" ca="1" si="0"/>
        <v>0.16535495233901742</v>
      </c>
      <c r="B64" s="1632">
        <f t="shared" ca="1" si="1"/>
        <v>0.97731517719339944</v>
      </c>
      <c r="C64" s="1594">
        <v>52</v>
      </c>
      <c r="D64" s="1665">
        <v>2719365.4824631587</v>
      </c>
    </row>
    <row r="65" spans="1:4" ht="16">
      <c r="A65" s="1632">
        <f t="shared" ca="1" si="0"/>
        <v>0.45336412915002422</v>
      </c>
      <c r="B65" s="1632">
        <f t="shared" ca="1" si="1"/>
        <v>1.1923765883523534</v>
      </c>
      <c r="C65" s="1594">
        <v>53</v>
      </c>
      <c r="D65" s="1665">
        <v>2719365.4824631587</v>
      </c>
    </row>
    <row r="66" spans="1:4" ht="16">
      <c r="A66" s="1632">
        <f t="shared" ca="1" si="0"/>
        <v>0.17089538923070635</v>
      </c>
      <c r="B66" s="1632">
        <f t="shared" ca="1" si="1"/>
        <v>0.98142435139906059</v>
      </c>
      <c r="C66" s="1594">
        <v>54</v>
      </c>
      <c r="D66" s="1665">
        <v>2719365.4824631587</v>
      </c>
    </row>
    <row r="67" spans="1:4" ht="16">
      <c r="A67" s="1632">
        <f t="shared" ca="1" si="0"/>
        <v>0.68073087540817656</v>
      </c>
      <c r="B67" s="1632">
        <f t="shared" ca="1" si="1"/>
        <v>1.406358470995372</v>
      </c>
      <c r="C67" s="1594">
        <v>55</v>
      </c>
      <c r="D67" s="1665">
        <v>2719365.4824631587</v>
      </c>
    </row>
    <row r="68" spans="1:4" ht="16">
      <c r="A68" s="1632">
        <f t="shared" ca="1" si="0"/>
        <v>0.87416372876146109</v>
      </c>
      <c r="B68" s="1632">
        <f t="shared" ca="1" si="1"/>
        <v>1.6645286912361756</v>
      </c>
      <c r="C68" s="1594">
        <v>56</v>
      </c>
      <c r="D68" s="1665">
        <v>2719365.4824631587</v>
      </c>
    </row>
    <row r="69" spans="1:4" ht="16">
      <c r="A69" s="1632">
        <f t="shared" ca="1" si="0"/>
        <v>0.11955626162777355</v>
      </c>
      <c r="B69" s="1632">
        <f t="shared" ca="1" si="1"/>
        <v>0.94029470077991373</v>
      </c>
      <c r="C69" s="1594">
        <v>57</v>
      </c>
      <c r="D69" s="1665">
        <v>2719365.4824631587</v>
      </c>
    </row>
    <row r="70" spans="1:4" ht="16">
      <c r="A70" s="1632">
        <f t="shared" ca="1" si="0"/>
        <v>0.58981016031192512</v>
      </c>
      <c r="B70" s="1632">
        <f t="shared" ca="1" si="1"/>
        <v>1.3137709694943025</v>
      </c>
      <c r="C70" s="1594">
        <v>58</v>
      </c>
      <c r="D70" s="1665">
        <v>2719365.4824631587</v>
      </c>
    </row>
    <row r="71" spans="1:4" ht="16">
      <c r="A71" s="1632">
        <f t="shared" ca="1" si="0"/>
        <v>0.54576635420125519</v>
      </c>
      <c r="B71" s="1632">
        <f t="shared" ca="1" si="1"/>
        <v>1.2726366552603938</v>
      </c>
      <c r="C71" s="1594">
        <v>59</v>
      </c>
      <c r="D71" s="1665">
        <v>2719365.4824631587</v>
      </c>
    </row>
    <row r="72" spans="1:4" ht="16">
      <c r="A72" s="1632">
        <f t="shared" ca="1" si="0"/>
        <v>0.42041608522951801</v>
      </c>
      <c r="B72" s="1632">
        <f t="shared" ca="1" si="1"/>
        <v>1.1654236470148005</v>
      </c>
      <c r="C72" s="1594">
        <v>60</v>
      </c>
      <c r="D72" s="1665">
        <v>2719365.4824631587</v>
      </c>
    </row>
    <row r="73" spans="1:4" ht="16">
      <c r="A73" s="1632">
        <f t="shared" ca="1" si="0"/>
        <v>0.31140585665850562</v>
      </c>
      <c r="B73" s="1632">
        <f t="shared" ca="1" si="1"/>
        <v>1.0813188064877057</v>
      </c>
      <c r="C73" s="1594">
        <v>61</v>
      </c>
      <c r="D73" s="1665">
        <v>2719365.4824631587</v>
      </c>
    </row>
    <row r="74" spans="1:4" ht="16">
      <c r="A74" s="1632">
        <f t="shared" ca="1" si="0"/>
        <v>0.90014641116088623</v>
      </c>
      <c r="B74" s="1632">
        <f t="shared" ca="1" si="1"/>
        <v>1.712083310000015</v>
      </c>
      <c r="C74" s="1594">
        <v>62</v>
      </c>
      <c r="D74" s="1665">
        <v>2719365.4824631587</v>
      </c>
    </row>
    <row r="75" spans="1:4" ht="16">
      <c r="A75" s="1632">
        <f t="shared" ca="1" si="0"/>
        <v>0.20901422282203874</v>
      </c>
      <c r="B75" s="1632">
        <f t="shared" ca="1" si="1"/>
        <v>1.0082053461354614</v>
      </c>
      <c r="C75" s="1594">
        <v>63</v>
      </c>
      <c r="D75" s="1665">
        <v>2719365.4824631587</v>
      </c>
    </row>
    <row r="76" spans="1:4" ht="16">
      <c r="A76" s="1632">
        <f t="shared" ca="1" si="0"/>
        <v>0.8877423294403356</v>
      </c>
      <c r="B76" s="1632">
        <f t="shared" ca="1" si="1"/>
        <v>1.6886943842671069</v>
      </c>
      <c r="C76" s="1594">
        <v>64</v>
      </c>
      <c r="D76" s="1665">
        <v>2719365.4824631587</v>
      </c>
    </row>
    <row r="77" spans="1:4" ht="16">
      <c r="A77" s="1632">
        <f t="shared" ref="A77:A140" ca="1" si="2">RAND()</f>
        <v>0.81952782629143495</v>
      </c>
      <c r="B77" s="1632">
        <f t="shared" ref="B77:B140" ca="1" si="3">IF(A77&lt;=(B$5-B$4)/(B$6-B$4),$B$4+SQRT(A77*(B$6-B$4)*(B$5-B$4)),B$6-SQRT((1-A77)*(B$6-B$4)*(-B$5+B$6)))</f>
        <v>1.5784910683614255</v>
      </c>
      <c r="C77" s="1594">
        <v>65</v>
      </c>
      <c r="D77" s="1665">
        <v>2719365.4824631587</v>
      </c>
    </row>
    <row r="78" spans="1:4" ht="16">
      <c r="A78" s="1632">
        <f t="shared" ca="1" si="2"/>
        <v>0.72647811259544104</v>
      </c>
      <c r="B78" s="1632">
        <f t="shared" ca="1" si="3"/>
        <v>1.4579739223998216</v>
      </c>
      <c r="C78" s="1594">
        <v>66</v>
      </c>
      <c r="D78" s="1665">
        <v>2719365.4824631587</v>
      </c>
    </row>
    <row r="79" spans="1:4" ht="16">
      <c r="A79" s="1632">
        <f t="shared" ca="1" si="2"/>
        <v>0.72869266345923833</v>
      </c>
      <c r="B79" s="1632">
        <f t="shared" ca="1" si="3"/>
        <v>1.4605782642364056</v>
      </c>
      <c r="C79" s="1594">
        <v>67</v>
      </c>
      <c r="D79" s="1665">
        <v>2719365.4824631587</v>
      </c>
    </row>
    <row r="80" spans="1:4" ht="16">
      <c r="A80" s="1632">
        <f t="shared" ca="1" si="2"/>
        <v>0.72432843224623611</v>
      </c>
      <c r="B80" s="1632">
        <f t="shared" ca="1" si="3"/>
        <v>1.4554559343187448</v>
      </c>
      <c r="C80" s="1594">
        <v>68</v>
      </c>
      <c r="D80" s="1665">
        <v>2719365.4824631587</v>
      </c>
    </row>
    <row r="81" spans="1:4" ht="16">
      <c r="A81" s="1632">
        <f t="shared" ca="1" si="2"/>
        <v>1.4429772454917611E-2</v>
      </c>
      <c r="B81" s="1632">
        <f t="shared" ca="1" si="3"/>
        <v>0.80305869442492128</v>
      </c>
      <c r="C81" s="1594">
        <v>69</v>
      </c>
      <c r="D81" s="1665">
        <v>2719365.4824631587</v>
      </c>
    </row>
    <row r="82" spans="1:4" ht="16">
      <c r="A82" s="1632">
        <f t="shared" ca="1" si="2"/>
        <v>0.46731108520482623</v>
      </c>
      <c r="B82" s="1632">
        <f t="shared" ca="1" si="3"/>
        <v>1.2040300258399688</v>
      </c>
      <c r="C82" s="1594">
        <v>70</v>
      </c>
      <c r="D82" s="1665">
        <v>2719365.4824631587</v>
      </c>
    </row>
    <row r="83" spans="1:4" ht="16">
      <c r="A83" s="1632">
        <f t="shared" ca="1" si="2"/>
        <v>0.2387997263878715</v>
      </c>
      <c r="B83" s="1632">
        <f t="shared" ca="1" si="3"/>
        <v>1.0289590052974267</v>
      </c>
      <c r="C83" s="1594">
        <v>71</v>
      </c>
      <c r="D83" s="1665">
        <v>2719365.4824631587</v>
      </c>
    </row>
    <row r="84" spans="1:4" ht="16">
      <c r="A84" s="1632">
        <f t="shared" ca="1" si="2"/>
        <v>0.28520538773644211</v>
      </c>
      <c r="B84" s="1632">
        <f t="shared" ca="1" si="3"/>
        <v>1.0621197175583392</v>
      </c>
      <c r="C84" s="1594">
        <v>72</v>
      </c>
      <c r="D84" s="1665">
        <v>2719365.4824631587</v>
      </c>
    </row>
    <row r="85" spans="1:4" ht="16">
      <c r="A85" s="1632">
        <f t="shared" ca="1" si="2"/>
        <v>0.19539365841573619</v>
      </c>
      <c r="B85" s="1632">
        <f t="shared" ca="1" si="3"/>
        <v>0.99884217349214532</v>
      </c>
      <c r="C85" s="1594">
        <v>73</v>
      </c>
      <c r="D85" s="1665">
        <v>2719365.4824631587</v>
      </c>
    </row>
    <row r="86" spans="1:4" ht="16">
      <c r="A86" s="1632">
        <f t="shared" ca="1" si="2"/>
        <v>0.89744419917915574</v>
      </c>
      <c r="B86" s="1632">
        <f t="shared" ca="1" si="3"/>
        <v>1.7068694977020833</v>
      </c>
      <c r="C86" s="1594">
        <v>74</v>
      </c>
      <c r="D86" s="1665">
        <v>2719365.4824631587</v>
      </c>
    </row>
    <row r="87" spans="1:4" ht="16">
      <c r="A87" s="1632">
        <f t="shared" ca="1" si="2"/>
        <v>0.32549643813532669</v>
      </c>
      <c r="B87" s="1632">
        <f t="shared" ca="1" si="3"/>
        <v>1.0917952252989165</v>
      </c>
      <c r="C87" s="1594">
        <v>75</v>
      </c>
      <c r="D87" s="1665">
        <v>2719365.4824631587</v>
      </c>
    </row>
    <row r="88" spans="1:4" ht="16">
      <c r="A88" s="1632">
        <f t="shared" ca="1" si="2"/>
        <v>0.39637632134884138</v>
      </c>
      <c r="B88" s="1632">
        <f t="shared" ca="1" si="3"/>
        <v>1.1462385603688436</v>
      </c>
      <c r="C88" s="1594">
        <v>76</v>
      </c>
      <c r="D88" s="1665">
        <v>2719365.4824631587</v>
      </c>
    </row>
    <row r="89" spans="1:4" ht="16">
      <c r="A89" s="1632">
        <f t="shared" ca="1" si="2"/>
        <v>0.26081555761627351</v>
      </c>
      <c r="B89" s="1632">
        <f t="shared" ca="1" si="3"/>
        <v>1.0445612501559951</v>
      </c>
      <c r="C89" s="1594">
        <v>77</v>
      </c>
      <c r="D89" s="1665">
        <v>2719365.4824631587</v>
      </c>
    </row>
    <row r="90" spans="1:4" ht="16">
      <c r="A90" s="1632">
        <f t="shared" ca="1" si="2"/>
        <v>0.6408145145124684</v>
      </c>
      <c r="B90" s="1632">
        <f t="shared" ca="1" si="3"/>
        <v>1.3642741498154969</v>
      </c>
      <c r="C90" s="1594">
        <v>78</v>
      </c>
      <c r="D90" s="1665">
        <v>2719365.4824631587</v>
      </c>
    </row>
    <row r="91" spans="1:4" ht="16">
      <c r="A91" s="1632">
        <f t="shared" ca="1" si="2"/>
        <v>7.1833525105087781E-2</v>
      </c>
      <c r="B91" s="1632">
        <f t="shared" ca="1" si="3"/>
        <v>0.8930068125458932</v>
      </c>
      <c r="C91" s="1594">
        <v>79</v>
      </c>
      <c r="D91" s="1665">
        <v>2719365.4824631587</v>
      </c>
    </row>
    <row r="92" spans="1:4" ht="16">
      <c r="A92" s="1632">
        <f t="shared" ca="1" si="2"/>
        <v>0.39482056521385867</v>
      </c>
      <c r="B92" s="1632">
        <f t="shared" ca="1" si="3"/>
        <v>1.1450102575301058</v>
      </c>
      <c r="C92" s="1594">
        <v>80</v>
      </c>
      <c r="D92" s="1665">
        <v>2719365.4824631587</v>
      </c>
    </row>
    <row r="93" spans="1:4" ht="16">
      <c r="A93" s="1632">
        <f t="shared" ca="1" si="2"/>
        <v>0.97395603292740907</v>
      </c>
      <c r="B93" s="1632">
        <f t="shared" ca="1" si="3"/>
        <v>1.9018882679435807</v>
      </c>
      <c r="C93" s="1594">
        <v>81</v>
      </c>
      <c r="D93" s="1665">
        <v>2719365.4824631587</v>
      </c>
    </row>
    <row r="94" spans="1:4" ht="16">
      <c r="A94" s="1632">
        <f t="shared" ca="1" si="2"/>
        <v>0.70771608059306113</v>
      </c>
      <c r="B94" s="1632">
        <f t="shared" ca="1" si="3"/>
        <v>1.4363194544464508</v>
      </c>
      <c r="C94" s="1594">
        <v>82</v>
      </c>
      <c r="D94" s="1665">
        <v>2719365.4824631587</v>
      </c>
    </row>
    <row r="95" spans="1:4" ht="16">
      <c r="A95" s="1632">
        <f t="shared" ca="1" si="2"/>
        <v>0.61015390983977458</v>
      </c>
      <c r="B95" s="1632">
        <f t="shared" ca="1" si="3"/>
        <v>1.3335157810682208</v>
      </c>
      <c r="C95" s="1594">
        <v>83</v>
      </c>
      <c r="D95" s="1665">
        <v>2719365.4824631587</v>
      </c>
    </row>
    <row r="96" spans="1:4" ht="16">
      <c r="A96" s="1632">
        <f t="shared" ca="1" si="2"/>
        <v>0.8456938023630951</v>
      </c>
      <c r="B96" s="1632">
        <f t="shared" ca="1" si="3"/>
        <v>1.6177765664768917</v>
      </c>
      <c r="C96" s="1594">
        <v>84</v>
      </c>
      <c r="D96" s="1665">
        <v>2719365.4824631587</v>
      </c>
    </row>
    <row r="97" spans="1:4" ht="16">
      <c r="A97" s="1632">
        <f t="shared" ca="1" si="2"/>
        <v>0.7693334419048149</v>
      </c>
      <c r="B97" s="1632">
        <f t="shared" ca="1" si="3"/>
        <v>1.5104115816525532</v>
      </c>
      <c r="C97" s="1594">
        <v>85</v>
      </c>
      <c r="D97" s="1665">
        <v>2719365.4824631587</v>
      </c>
    </row>
    <row r="98" spans="1:4" ht="16">
      <c r="A98" s="1632">
        <f t="shared" ca="1" si="2"/>
        <v>0.5476857916149539</v>
      </c>
      <c r="B98" s="1632">
        <f t="shared" ca="1" si="3"/>
        <v>1.2743865843893616</v>
      </c>
      <c r="C98" s="1594">
        <v>86</v>
      </c>
      <c r="D98" s="1665">
        <v>2719365.4824631587</v>
      </c>
    </row>
    <row r="99" spans="1:4" ht="16">
      <c r="A99" s="1632">
        <f t="shared" ca="1" si="2"/>
        <v>0.86476007137349764</v>
      </c>
      <c r="B99" s="1632">
        <f t="shared" ca="1" si="3"/>
        <v>1.648550587064133</v>
      </c>
      <c r="C99" s="1594">
        <v>87</v>
      </c>
      <c r="D99" s="1665">
        <v>2719365.4824631587</v>
      </c>
    </row>
    <row r="100" spans="1:4" ht="16">
      <c r="A100" s="1632">
        <f t="shared" ca="1" si="2"/>
        <v>0.96858557715981608</v>
      </c>
      <c r="B100" s="1632">
        <f t="shared" ca="1" si="3"/>
        <v>1.8824188996715083</v>
      </c>
      <c r="C100" s="1594">
        <v>88</v>
      </c>
      <c r="D100" s="1665">
        <v>2719365.4824631587</v>
      </c>
    </row>
    <row r="101" spans="1:4" ht="16">
      <c r="A101" s="1632">
        <f t="shared" ca="1" si="2"/>
        <v>0.10176507776319155</v>
      </c>
      <c r="B101" s="1632">
        <f t="shared" ca="1" si="3"/>
        <v>0.92401778852621874</v>
      </c>
      <c r="C101" s="1594">
        <v>89</v>
      </c>
      <c r="D101" s="1665">
        <v>2719365.4824631587</v>
      </c>
    </row>
    <row r="102" spans="1:4" ht="16">
      <c r="A102" s="1632">
        <f t="shared" ca="1" si="2"/>
        <v>0.34745488383971113</v>
      </c>
      <c r="B102" s="1632">
        <f t="shared" ca="1" si="3"/>
        <v>1.1083420498712495</v>
      </c>
      <c r="C102" s="1594">
        <v>90</v>
      </c>
      <c r="D102" s="1665">
        <v>2719365.4824631587</v>
      </c>
    </row>
    <row r="103" spans="1:4" ht="16">
      <c r="A103" s="1632">
        <f t="shared" ca="1" si="2"/>
        <v>0.1354810112479804</v>
      </c>
      <c r="B103" s="1632">
        <f t="shared" ca="1" si="3"/>
        <v>0.95386251597940186</v>
      </c>
      <c r="C103" s="1594">
        <v>91</v>
      </c>
      <c r="D103" s="1665">
        <v>2719365.4824631587</v>
      </c>
    </row>
    <row r="104" spans="1:4" ht="16">
      <c r="A104" s="1632">
        <f t="shared" ca="1" si="2"/>
        <v>0.11568959390540223</v>
      </c>
      <c r="B104" s="1632">
        <f t="shared" ca="1" si="3"/>
        <v>0.93686609385205755</v>
      </c>
      <c r="C104" s="1594">
        <v>92</v>
      </c>
      <c r="D104" s="1665">
        <v>2719365.4824631587</v>
      </c>
    </row>
    <row r="105" spans="1:4" ht="16">
      <c r="A105" s="1632">
        <f t="shared" ca="1" si="2"/>
        <v>0.63003706303558016</v>
      </c>
      <c r="B105" s="1632">
        <f t="shared" ca="1" si="3"/>
        <v>1.3533179083402491</v>
      </c>
      <c r="C105" s="1594">
        <v>93</v>
      </c>
      <c r="D105" s="1665">
        <v>2719365.4824631587</v>
      </c>
    </row>
    <row r="106" spans="1:4" ht="16">
      <c r="A106" s="1632">
        <f t="shared" ca="1" si="2"/>
        <v>0.87662751538876338</v>
      </c>
      <c r="B106" s="1632">
        <f t="shared" ca="1" si="3"/>
        <v>1.6688128778486844</v>
      </c>
      <c r="C106" s="1594">
        <v>94</v>
      </c>
      <c r="D106" s="1665">
        <v>2719365.4824631587</v>
      </c>
    </row>
    <row r="107" spans="1:4" ht="16">
      <c r="A107" s="1632">
        <f t="shared" ca="1" si="2"/>
        <v>0.9433644331174279</v>
      </c>
      <c r="B107" s="1632">
        <f t="shared" ca="1" si="3"/>
        <v>1.8078531203452002</v>
      </c>
      <c r="C107" s="1594">
        <v>95</v>
      </c>
      <c r="D107" s="1665">
        <v>2719365.4824631587</v>
      </c>
    </row>
    <row r="108" spans="1:4" ht="16">
      <c r="A108" s="1632">
        <f t="shared" ca="1" si="2"/>
        <v>0.64957397891025614</v>
      </c>
      <c r="B108" s="1632">
        <f t="shared" ca="1" si="3"/>
        <v>1.373300602874721</v>
      </c>
      <c r="C108" s="1594">
        <v>96</v>
      </c>
      <c r="D108" s="1665">
        <v>2719365.4824631587</v>
      </c>
    </row>
    <row r="109" spans="1:4" ht="16">
      <c r="A109" s="1632">
        <f t="shared" ca="1" si="2"/>
        <v>0.8713982210893102</v>
      </c>
      <c r="B109" s="1632">
        <f t="shared" ca="1" si="3"/>
        <v>1.6597695139834028</v>
      </c>
      <c r="C109" s="1594">
        <v>97</v>
      </c>
      <c r="D109" s="1665">
        <v>2719365.4824631587</v>
      </c>
    </row>
    <row r="110" spans="1:4" ht="16">
      <c r="A110" s="1632">
        <f t="shared" ca="1" si="2"/>
        <v>0.87767323871317815</v>
      </c>
      <c r="B110" s="1632">
        <f t="shared" ca="1" si="3"/>
        <v>1.6706441694127814</v>
      </c>
      <c r="C110" s="1594">
        <v>98</v>
      </c>
      <c r="D110" s="1665">
        <v>2719365.4824631587</v>
      </c>
    </row>
    <row r="111" spans="1:4" ht="16">
      <c r="A111" s="1632">
        <f t="shared" ca="1" si="2"/>
        <v>0.44618636549465995</v>
      </c>
      <c r="B111" s="1632">
        <f t="shared" ca="1" si="3"/>
        <v>1.1864371137138137</v>
      </c>
      <c r="C111" s="1594">
        <v>99</v>
      </c>
      <c r="D111" s="1665">
        <v>2719365.4824631587</v>
      </c>
    </row>
    <row r="112" spans="1:4" ht="16">
      <c r="A112" s="1632">
        <f t="shared" ca="1" si="2"/>
        <v>7.8471658042948533E-2</v>
      </c>
      <c r="B112" s="1632">
        <f t="shared" ca="1" si="3"/>
        <v>0.90037214065124216</v>
      </c>
      <c r="C112" s="1594">
        <v>100</v>
      </c>
      <c r="D112" s="1665">
        <v>2719365.4824631587</v>
      </c>
    </row>
    <row r="113" spans="1:4" ht="16">
      <c r="A113" s="1632">
        <f t="shared" ca="1" si="2"/>
        <v>9.5908455645702162E-2</v>
      </c>
      <c r="B113" s="1632">
        <f t="shared" ca="1" si="3"/>
        <v>0.91835216415891063</v>
      </c>
      <c r="C113" s="1594">
        <v>101</v>
      </c>
      <c r="D113" s="1665">
        <v>2719365.4824631587</v>
      </c>
    </row>
    <row r="114" spans="1:4" ht="16">
      <c r="A114" s="1632">
        <f t="shared" ca="1" si="2"/>
        <v>0.6344099786808971</v>
      </c>
      <c r="B114" s="1632">
        <f t="shared" ca="1" si="3"/>
        <v>1.3577438702658711</v>
      </c>
      <c r="C114" s="1594">
        <v>102</v>
      </c>
      <c r="D114" s="1665">
        <v>2719365.4824631587</v>
      </c>
    </row>
    <row r="115" spans="1:4" ht="16">
      <c r="A115" s="1632">
        <f t="shared" ca="1" si="2"/>
        <v>0.89117587612450078</v>
      </c>
      <c r="B115" s="1632">
        <f t="shared" ca="1" si="3"/>
        <v>1.6950333906599493</v>
      </c>
      <c r="C115" s="1594">
        <v>103</v>
      </c>
      <c r="D115" s="1665">
        <v>2719365.4824631587</v>
      </c>
    </row>
    <row r="116" spans="1:4" ht="16">
      <c r="A116" s="1632">
        <f t="shared" ca="1" si="2"/>
        <v>6.1215358650869356E-2</v>
      </c>
      <c r="B116" s="1632">
        <f t="shared" ca="1" si="3"/>
        <v>0.88047777631582869</v>
      </c>
      <c r="C116" s="1594">
        <v>104</v>
      </c>
      <c r="D116" s="1665">
        <v>2719365.4824631587</v>
      </c>
    </row>
    <row r="117" spans="1:4" ht="16">
      <c r="A117" s="1632">
        <f t="shared" ca="1" si="2"/>
        <v>0.19279981183594275</v>
      </c>
      <c r="B117" s="1632">
        <f t="shared" ca="1" si="3"/>
        <v>0.99705177475185458</v>
      </c>
      <c r="C117" s="1594">
        <v>105</v>
      </c>
      <c r="D117" s="1665">
        <v>2719365.4824631587</v>
      </c>
    </row>
    <row r="118" spans="1:4" ht="16">
      <c r="A118" s="1632">
        <f t="shared" ca="1" si="2"/>
        <v>7.5714173722714273E-2</v>
      </c>
      <c r="B118" s="1632">
        <f t="shared" ca="1" si="3"/>
        <v>0.89735194310205069</v>
      </c>
      <c r="C118" s="1594">
        <v>106</v>
      </c>
      <c r="D118" s="1665">
        <v>2719365.4824631587</v>
      </c>
    </row>
    <row r="119" spans="1:4" ht="16">
      <c r="A119" s="1632">
        <f t="shared" ca="1" si="2"/>
        <v>0.50279920785153054</v>
      </c>
      <c r="B119" s="1632">
        <f t="shared" ca="1" si="3"/>
        <v>1.2343894676196787</v>
      </c>
      <c r="C119" s="1594">
        <v>107</v>
      </c>
      <c r="D119" s="1665">
        <v>2719365.4824631587</v>
      </c>
    </row>
    <row r="120" spans="1:4" ht="16">
      <c r="A120" s="1632">
        <f t="shared" ca="1" si="2"/>
        <v>0.49947164721060533</v>
      </c>
      <c r="B120" s="1632">
        <f t="shared" ca="1" si="3"/>
        <v>1.2314977100469926</v>
      </c>
      <c r="C120" s="1594">
        <v>108</v>
      </c>
      <c r="D120" s="1665">
        <v>2719365.4824631587</v>
      </c>
    </row>
    <row r="121" spans="1:4" ht="16">
      <c r="A121" s="1632">
        <f t="shared" ca="1" si="2"/>
        <v>0.95059526523833238</v>
      </c>
      <c r="B121" s="1632">
        <f t="shared" ca="1" si="3"/>
        <v>1.8271393482272809</v>
      </c>
      <c r="C121" s="1594">
        <v>109</v>
      </c>
      <c r="D121" s="1665">
        <v>2719365.4824631587</v>
      </c>
    </row>
    <row r="122" spans="1:4" ht="16">
      <c r="A122" s="1632">
        <f t="shared" ca="1" si="2"/>
        <v>0.55848067827478109</v>
      </c>
      <c r="B122" s="1632">
        <f t="shared" ca="1" si="3"/>
        <v>1.2842980827288042</v>
      </c>
      <c r="C122" s="1594">
        <v>110</v>
      </c>
      <c r="D122" s="1665">
        <v>2719365.4824631587</v>
      </c>
    </row>
    <row r="123" spans="1:4" ht="16">
      <c r="A123" s="1632">
        <f t="shared" ca="1" si="2"/>
        <v>0.73729150414194544</v>
      </c>
      <c r="B123" s="1632">
        <f t="shared" ca="1" si="3"/>
        <v>1.4707927978335849</v>
      </c>
      <c r="C123" s="1594">
        <v>111</v>
      </c>
      <c r="D123" s="1665">
        <v>2719365.4824631587</v>
      </c>
    </row>
    <row r="124" spans="1:4" ht="16">
      <c r="A124" s="1632">
        <f t="shared" ca="1" si="2"/>
        <v>0.72389764827346426</v>
      </c>
      <c r="B124" s="1632">
        <f t="shared" ca="1" si="3"/>
        <v>1.4549525257379194</v>
      </c>
      <c r="C124" s="1594">
        <v>112</v>
      </c>
      <c r="D124" s="1665">
        <v>2719365.4824631587</v>
      </c>
    </row>
    <row r="125" spans="1:4" ht="16">
      <c r="A125" s="1632">
        <f t="shared" ca="1" si="2"/>
        <v>0.22305389631735861</v>
      </c>
      <c r="B125" s="1632">
        <f t="shared" ca="1" si="3"/>
        <v>1.0179381818723383</v>
      </c>
      <c r="C125" s="1594">
        <v>113</v>
      </c>
      <c r="D125" s="1665">
        <v>2719365.4824631587</v>
      </c>
    </row>
    <row r="126" spans="1:4" ht="16">
      <c r="A126" s="1632">
        <f t="shared" ca="1" si="2"/>
        <v>0.18023984665177217</v>
      </c>
      <c r="B126" s="1632">
        <f t="shared" ca="1" si="3"/>
        <v>0.98820673747307708</v>
      </c>
      <c r="C126" s="1594">
        <v>114</v>
      </c>
      <c r="D126" s="1665">
        <v>2719365.4824631587</v>
      </c>
    </row>
    <row r="127" spans="1:4" ht="16">
      <c r="A127" s="1632">
        <f t="shared" ca="1" si="2"/>
        <v>0.37555263241928338</v>
      </c>
      <c r="B127" s="1632">
        <f t="shared" ca="1" si="3"/>
        <v>1.1299267125911878</v>
      </c>
      <c r="C127" s="1594">
        <v>115</v>
      </c>
      <c r="D127" s="1665">
        <v>2719365.4824631587</v>
      </c>
    </row>
    <row r="128" spans="1:4" ht="16">
      <c r="A128" s="1632">
        <f t="shared" ca="1" si="2"/>
        <v>0.65503155458317708</v>
      </c>
      <c r="B128" s="1632">
        <f t="shared" ca="1" si="3"/>
        <v>1.3789816595653392</v>
      </c>
      <c r="C128" s="1594">
        <v>116</v>
      </c>
      <c r="D128" s="1665">
        <v>2719365.4824631587</v>
      </c>
    </row>
    <row r="129" spans="1:4" ht="16">
      <c r="A129" s="1632">
        <f t="shared" ca="1" si="2"/>
        <v>0.99420760999615454</v>
      </c>
      <c r="B129" s="1632">
        <f t="shared" ca="1" si="3"/>
        <v>2.0065701774817319</v>
      </c>
      <c r="C129" s="1594">
        <v>117</v>
      </c>
      <c r="D129" s="1665">
        <v>2719365.4824631587</v>
      </c>
    </row>
    <row r="130" spans="1:4" ht="16">
      <c r="A130" s="1632">
        <f t="shared" ca="1" si="2"/>
        <v>0.82653088316157308</v>
      </c>
      <c r="B130" s="1632">
        <f t="shared" ca="1" si="3"/>
        <v>1.5887095159544731</v>
      </c>
      <c r="C130" s="1594">
        <v>118</v>
      </c>
      <c r="D130" s="1665">
        <v>2719365.4824631587</v>
      </c>
    </row>
    <row r="131" spans="1:4" ht="16">
      <c r="A131" s="1632">
        <f t="shared" ca="1" si="2"/>
        <v>0.95695474549398563</v>
      </c>
      <c r="B131" s="1632">
        <f t="shared" ca="1" si="3"/>
        <v>1.8453056762694473</v>
      </c>
      <c r="C131" s="1594">
        <v>119</v>
      </c>
      <c r="D131" s="1665">
        <v>2719365.4824631587</v>
      </c>
    </row>
    <row r="132" spans="1:4" ht="16">
      <c r="A132" s="1632">
        <f t="shared" ca="1" si="2"/>
        <v>0.53378270102526004</v>
      </c>
      <c r="B132" s="1632">
        <f t="shared" ca="1" si="3"/>
        <v>1.2617938979254966</v>
      </c>
      <c r="C132" s="1594">
        <v>120</v>
      </c>
      <c r="D132" s="1665">
        <v>2719365.4824631587</v>
      </c>
    </row>
    <row r="133" spans="1:4" ht="16">
      <c r="A133" s="1632">
        <f t="shared" ca="1" si="2"/>
        <v>0.74612808556295107</v>
      </c>
      <c r="B133" s="1632">
        <f t="shared" ca="1" si="3"/>
        <v>1.481465461710801</v>
      </c>
      <c r="C133" s="1594">
        <v>121</v>
      </c>
      <c r="D133" s="1665">
        <v>2719365.4824631587</v>
      </c>
    </row>
    <row r="134" spans="1:4" ht="16">
      <c r="A134" s="1632">
        <f t="shared" ca="1" si="2"/>
        <v>0.51336612918501334</v>
      </c>
      <c r="B134" s="1632">
        <f t="shared" ca="1" si="3"/>
        <v>1.2436372011126449</v>
      </c>
      <c r="C134" s="1594">
        <v>122</v>
      </c>
      <c r="D134" s="1665">
        <v>2719365.4824631587</v>
      </c>
    </row>
    <row r="135" spans="1:4" ht="16">
      <c r="A135" s="1632">
        <f t="shared" ca="1" si="2"/>
        <v>0.25550131483085103</v>
      </c>
      <c r="B135" s="1632">
        <f t="shared" ca="1" si="3"/>
        <v>1.0407740946569011</v>
      </c>
      <c r="C135" s="1594">
        <v>123</v>
      </c>
      <c r="D135" s="1665">
        <v>2719365.4824631587</v>
      </c>
    </row>
    <row r="136" spans="1:4" ht="16">
      <c r="A136" s="1632">
        <f t="shared" ca="1" si="2"/>
        <v>0.17620249832239376</v>
      </c>
      <c r="B136" s="1632">
        <f t="shared" ca="1" si="3"/>
        <v>0.9852984608834402</v>
      </c>
      <c r="C136" s="1594">
        <v>124</v>
      </c>
      <c r="D136" s="1665">
        <v>2719365.4824631587</v>
      </c>
    </row>
    <row r="137" spans="1:4" ht="16">
      <c r="A137" s="1632">
        <f t="shared" ca="1" si="2"/>
        <v>0.36196461745648378</v>
      </c>
      <c r="B137" s="1632">
        <f t="shared" ca="1" si="3"/>
        <v>1.1194290839041376</v>
      </c>
      <c r="C137" s="1594">
        <v>125</v>
      </c>
      <c r="D137" s="1665">
        <v>2719365.4824631587</v>
      </c>
    </row>
    <row r="138" spans="1:4" ht="16">
      <c r="A138" s="1632">
        <f t="shared" ca="1" si="2"/>
        <v>0.44256675314185057</v>
      </c>
      <c r="B138" s="1632">
        <f t="shared" ca="1" si="3"/>
        <v>1.1834565460300144</v>
      </c>
      <c r="C138" s="1594">
        <v>126</v>
      </c>
      <c r="D138" s="1665">
        <v>2719365.4824631587</v>
      </c>
    </row>
    <row r="139" spans="1:4" ht="16">
      <c r="A139" s="1632">
        <f t="shared" ca="1" si="2"/>
        <v>0.32172139079342876</v>
      </c>
      <c r="B139" s="1632">
        <f t="shared" ca="1" si="3"/>
        <v>1.0889778122739824</v>
      </c>
      <c r="C139" s="1594">
        <v>127</v>
      </c>
      <c r="D139" s="1665">
        <v>2719365.4824631587</v>
      </c>
    </row>
    <row r="140" spans="1:4" ht="16">
      <c r="A140" s="1632">
        <f t="shared" ca="1" si="2"/>
        <v>0.74522469082807852</v>
      </c>
      <c r="B140" s="1632">
        <f t="shared" ca="1" si="3"/>
        <v>1.4803659217553591</v>
      </c>
      <c r="C140" s="1594">
        <v>128</v>
      </c>
      <c r="D140" s="1665">
        <v>2719365.4824631587</v>
      </c>
    </row>
    <row r="141" spans="1:4" ht="16">
      <c r="A141" s="1632">
        <f t="shared" ref="A141:A204" ca="1" si="4">RAND()</f>
        <v>0.41572442447938407</v>
      </c>
      <c r="B141" s="1632">
        <f t="shared" ref="B141:B204" ca="1" si="5">IF(A141&lt;=(B$5-B$4)/(B$6-B$4),$B$4+SQRT(A141*(B$6-B$4)*(B$5-B$4)),B$6-SQRT((1-A141)*(B$6-B$4)*(-B$5+B$6)))</f>
        <v>1.1616486306774161</v>
      </c>
      <c r="C141" s="1594">
        <v>129</v>
      </c>
      <c r="D141" s="1665">
        <v>2719365.4824631587</v>
      </c>
    </row>
    <row r="142" spans="1:4" ht="16">
      <c r="A142" s="1632">
        <f t="shared" ca="1" si="4"/>
        <v>7.5732202591891062E-2</v>
      </c>
      <c r="B142" s="1632">
        <f t="shared" ca="1" si="5"/>
        <v>0.89737186662859592</v>
      </c>
      <c r="C142" s="1594">
        <v>130</v>
      </c>
      <c r="D142" s="1665">
        <v>2719365.4824631587</v>
      </c>
    </row>
    <row r="143" spans="1:4" ht="16">
      <c r="A143" s="1632">
        <f t="shared" ca="1" si="4"/>
        <v>0.56942726182637571</v>
      </c>
      <c r="B143" s="1632">
        <f t="shared" ca="1" si="5"/>
        <v>1.2944733918562021</v>
      </c>
      <c r="C143" s="1594">
        <v>131</v>
      </c>
      <c r="D143" s="1665">
        <v>2719365.4824631587</v>
      </c>
    </row>
    <row r="144" spans="1:4" ht="16">
      <c r="A144" s="1632">
        <f t="shared" ca="1" si="4"/>
        <v>0.95809181591210768</v>
      </c>
      <c r="B144" s="1632">
        <f t="shared" ca="1" si="5"/>
        <v>1.8486921540809884</v>
      </c>
      <c r="C144" s="1594">
        <v>132</v>
      </c>
      <c r="D144" s="1665">
        <v>2719365.4824631587</v>
      </c>
    </row>
    <row r="145" spans="1:4" ht="16">
      <c r="A145" s="1632">
        <f t="shared" ca="1" si="4"/>
        <v>0.16523994058218849</v>
      </c>
      <c r="B145" s="1632">
        <f t="shared" ca="1" si="5"/>
        <v>0.97722915285489997</v>
      </c>
      <c r="C145" s="1594">
        <v>133</v>
      </c>
      <c r="D145" s="1665">
        <v>2719365.4824631587</v>
      </c>
    </row>
    <row r="146" spans="1:4" ht="16">
      <c r="A146" s="1632">
        <f t="shared" ca="1" si="4"/>
        <v>0.78961317417110277</v>
      </c>
      <c r="B146" s="1632">
        <f t="shared" ca="1" si="5"/>
        <v>1.536925452072154</v>
      </c>
      <c r="C146" s="1594">
        <v>134</v>
      </c>
      <c r="D146" s="1665">
        <v>2719365.4824631587</v>
      </c>
    </row>
    <row r="147" spans="1:4" ht="16">
      <c r="A147" s="1632">
        <f t="shared" ca="1" si="4"/>
        <v>0.13846339897255844</v>
      </c>
      <c r="B147" s="1632">
        <f t="shared" ca="1" si="5"/>
        <v>0.95631308243216817</v>
      </c>
      <c r="C147" s="1594">
        <v>135</v>
      </c>
      <c r="D147" s="1665">
        <v>2719365.4824631587</v>
      </c>
    </row>
    <row r="148" spans="1:4" ht="16">
      <c r="A148" s="1632">
        <f t="shared" ca="1" si="4"/>
        <v>0.41183668930120965</v>
      </c>
      <c r="B148" s="1632">
        <f t="shared" ca="1" si="5"/>
        <v>1.1585319393505285</v>
      </c>
      <c r="C148" s="1594">
        <v>136</v>
      </c>
      <c r="D148" s="1665">
        <v>2719365.4824631587</v>
      </c>
    </row>
    <row r="149" spans="1:4" ht="16">
      <c r="A149" s="1632">
        <f t="shared" ca="1" si="4"/>
        <v>0.13853234681347992</v>
      </c>
      <c r="B149" s="1632">
        <f t="shared" ca="1" si="5"/>
        <v>0.95636942171217876</v>
      </c>
      <c r="C149" s="1594">
        <v>137</v>
      </c>
      <c r="D149" s="1665">
        <v>2719365.4824631587</v>
      </c>
    </row>
    <row r="150" spans="1:4" ht="16">
      <c r="A150" s="1632">
        <f t="shared" ca="1" si="4"/>
        <v>0.5904164122046075</v>
      </c>
      <c r="B150" s="1632">
        <f t="shared" ca="1" si="5"/>
        <v>1.3143521992599632</v>
      </c>
      <c r="C150" s="1594">
        <v>138</v>
      </c>
      <c r="D150" s="1665">
        <v>2719365.4824631587</v>
      </c>
    </row>
    <row r="151" spans="1:4" ht="16">
      <c r="A151" s="1632">
        <f t="shared" ca="1" si="4"/>
        <v>0.82781928311861674</v>
      </c>
      <c r="B151" s="1632">
        <f t="shared" ca="1" si="5"/>
        <v>1.5906117979966119</v>
      </c>
      <c r="C151" s="1594">
        <v>139</v>
      </c>
      <c r="D151" s="1665">
        <v>2719365.4824631587</v>
      </c>
    </row>
    <row r="152" spans="1:4" ht="16">
      <c r="A152" s="1632">
        <f t="shared" ca="1" si="4"/>
        <v>0.80364117459027828</v>
      </c>
      <c r="B152" s="1632">
        <f t="shared" ca="1" si="5"/>
        <v>1.5560213700038847</v>
      </c>
      <c r="C152" s="1594">
        <v>140</v>
      </c>
      <c r="D152" s="1665">
        <v>2719365.4824631587</v>
      </c>
    </row>
    <row r="153" spans="1:4" ht="16">
      <c r="A153" s="1632">
        <f t="shared" ca="1" si="4"/>
        <v>0.2141658956927972</v>
      </c>
      <c r="B153" s="1632">
        <f t="shared" ca="1" si="5"/>
        <v>1.0117665713685531</v>
      </c>
      <c r="C153" s="1594">
        <v>141</v>
      </c>
      <c r="D153" s="1665">
        <v>2719365.4824631587</v>
      </c>
    </row>
    <row r="154" spans="1:4" ht="16">
      <c r="A154" s="1632">
        <f t="shared" ca="1" si="4"/>
        <v>0.66983075184570173</v>
      </c>
      <c r="B154" s="1632">
        <f t="shared" ca="1" si="5"/>
        <v>1.3946170848620394</v>
      </c>
      <c r="C154" s="1594">
        <v>142</v>
      </c>
      <c r="D154" s="1665">
        <v>2719365.4824631587</v>
      </c>
    </row>
    <row r="155" spans="1:4" ht="16">
      <c r="A155" s="1632">
        <f t="shared" ca="1" si="4"/>
        <v>0.83297124709304771</v>
      </c>
      <c r="B155" s="1632">
        <f t="shared" ca="1" si="5"/>
        <v>1.5982905914468246</v>
      </c>
      <c r="C155" s="1594">
        <v>143</v>
      </c>
      <c r="D155" s="1665">
        <v>2719365.4824631587</v>
      </c>
    </row>
    <row r="156" spans="1:4" ht="16">
      <c r="A156" s="1632">
        <f t="shared" ca="1" si="4"/>
        <v>0.90448422856926591</v>
      </c>
      <c r="B156" s="1632">
        <f t="shared" ca="1" si="5"/>
        <v>1.7206027575928942</v>
      </c>
      <c r="C156" s="1594">
        <v>144</v>
      </c>
      <c r="D156" s="1665">
        <v>2719365.4824631587</v>
      </c>
    </row>
    <row r="157" spans="1:4" ht="16">
      <c r="A157" s="1632">
        <f t="shared" ca="1" si="4"/>
        <v>0.76391010787858782</v>
      </c>
      <c r="B157" s="1632">
        <f t="shared" ca="1" si="5"/>
        <v>1.503520773683636</v>
      </c>
      <c r="C157" s="1594">
        <v>145</v>
      </c>
      <c r="D157" s="1665">
        <v>2719365.4824631587</v>
      </c>
    </row>
    <row r="158" spans="1:4" ht="16">
      <c r="A158" s="1632">
        <f t="shared" ca="1" si="4"/>
        <v>0.61969349766632986</v>
      </c>
      <c r="B158" s="1632">
        <f t="shared" ca="1" si="5"/>
        <v>1.3429518515861485</v>
      </c>
      <c r="C158" s="1594">
        <v>146</v>
      </c>
      <c r="D158" s="1665">
        <v>2719365.4824631587</v>
      </c>
    </row>
    <row r="159" spans="1:4" ht="16">
      <c r="A159" s="1632">
        <f t="shared" ca="1" si="4"/>
        <v>0.76594687624335178</v>
      </c>
      <c r="B159" s="1632">
        <f t="shared" ca="1" si="5"/>
        <v>1.5060992864954035</v>
      </c>
      <c r="C159" s="1594">
        <v>147</v>
      </c>
      <c r="D159" s="1665">
        <v>2719365.4824631587</v>
      </c>
    </row>
    <row r="160" spans="1:4" ht="16">
      <c r="A160" s="1632">
        <f t="shared" ca="1" si="4"/>
        <v>0.3215668336759856</v>
      </c>
      <c r="B160" s="1632">
        <f t="shared" ca="1" si="5"/>
        <v>1.088862629683637</v>
      </c>
      <c r="C160" s="1594">
        <v>148</v>
      </c>
      <c r="D160" s="1665">
        <v>2719365.4824631587</v>
      </c>
    </row>
    <row r="161" spans="1:4" ht="16">
      <c r="A161" s="1632">
        <f t="shared" ca="1" si="4"/>
        <v>6.7994801639911118E-2</v>
      </c>
      <c r="B161" s="1632">
        <f t="shared" ca="1" si="5"/>
        <v>0.88859154178771049</v>
      </c>
      <c r="C161" s="1594">
        <v>149</v>
      </c>
      <c r="D161" s="1665">
        <v>2719365.4824631587</v>
      </c>
    </row>
    <row r="162" spans="1:4" ht="16">
      <c r="A162" s="1632">
        <f t="shared" ca="1" si="4"/>
        <v>0.17838767976738013</v>
      </c>
      <c r="B162" s="1632">
        <f t="shared" ca="1" si="5"/>
        <v>0.98687662942734566</v>
      </c>
      <c r="C162" s="1594">
        <v>150</v>
      </c>
      <c r="D162" s="1665">
        <v>2719365.4824631587</v>
      </c>
    </row>
    <row r="163" spans="1:4" ht="16">
      <c r="A163" s="1632">
        <f t="shared" ca="1" si="4"/>
        <v>0.91492141656684378</v>
      </c>
      <c r="B163" s="1632">
        <f t="shared" ca="1" si="5"/>
        <v>1.7419309769977771</v>
      </c>
      <c r="C163" s="1594">
        <v>151</v>
      </c>
      <c r="D163" s="1665">
        <v>2719365.4824631587</v>
      </c>
    </row>
    <row r="164" spans="1:4" ht="16">
      <c r="A164" s="1632">
        <f t="shared" ca="1" si="4"/>
        <v>0.94171745522514072</v>
      </c>
      <c r="B164" s="1632">
        <f t="shared" ca="1" si="5"/>
        <v>1.8036357056328935</v>
      </c>
      <c r="C164" s="1594">
        <v>152</v>
      </c>
      <c r="D164" s="1665">
        <v>2719365.4824631587</v>
      </c>
    </row>
    <row r="165" spans="1:4" ht="16">
      <c r="A165" s="1632">
        <f t="shared" ca="1" si="4"/>
        <v>0.33088770818132085</v>
      </c>
      <c r="B165" s="1632">
        <f t="shared" ca="1" si="5"/>
        <v>1.0958325718433457</v>
      </c>
      <c r="C165" s="1594">
        <v>153</v>
      </c>
      <c r="D165" s="1665">
        <v>2719365.4824631587</v>
      </c>
    </row>
    <row r="166" spans="1:4" ht="16">
      <c r="A166" s="1632">
        <f t="shared" ca="1" si="4"/>
        <v>0.77762702960934904</v>
      </c>
      <c r="B166" s="1632">
        <f t="shared" ca="1" si="5"/>
        <v>1.5211078974638617</v>
      </c>
      <c r="C166" s="1594">
        <v>154</v>
      </c>
      <c r="D166" s="1665">
        <v>2719365.4824631587</v>
      </c>
    </row>
    <row r="167" spans="1:4" ht="16">
      <c r="A167" s="1632">
        <f t="shared" ca="1" si="4"/>
        <v>0.85398231850439998</v>
      </c>
      <c r="B167" s="1632">
        <f t="shared" ca="1" si="5"/>
        <v>1.6309065700589389</v>
      </c>
      <c r="C167" s="1594">
        <v>155</v>
      </c>
      <c r="D167" s="1665">
        <v>2719365.4824631587</v>
      </c>
    </row>
    <row r="168" spans="1:4" ht="16">
      <c r="A168" s="1632">
        <f t="shared" ca="1" si="4"/>
        <v>0.9994397650680753</v>
      </c>
      <c r="B168" s="1632">
        <f t="shared" ca="1" si="5"/>
        <v>2.0709436058257307</v>
      </c>
      <c r="C168" s="1594">
        <v>156</v>
      </c>
      <c r="D168" s="1665">
        <v>2719365.4824631587</v>
      </c>
    </row>
    <row r="169" spans="1:4" ht="16">
      <c r="A169" s="1632">
        <f t="shared" ca="1" si="4"/>
        <v>0.65952510631671091</v>
      </c>
      <c r="B169" s="1632">
        <f t="shared" ca="1" si="5"/>
        <v>1.383693037322185</v>
      </c>
      <c r="C169" s="1594">
        <v>157</v>
      </c>
      <c r="D169" s="1665">
        <v>2719365.4824631587</v>
      </c>
    </row>
    <row r="170" spans="1:4" ht="16">
      <c r="A170" s="1632">
        <f t="shared" ca="1" si="4"/>
        <v>0.77293028284976595</v>
      </c>
      <c r="B170" s="1632">
        <f t="shared" ca="1" si="5"/>
        <v>1.5150264418408277</v>
      </c>
      <c r="C170" s="1594">
        <v>158</v>
      </c>
      <c r="D170" s="1665">
        <v>2719365.4824631587</v>
      </c>
    </row>
    <row r="171" spans="1:4" ht="16">
      <c r="A171" s="1632">
        <f t="shared" ca="1" si="4"/>
        <v>0.13692065078222704</v>
      </c>
      <c r="B171" s="1632">
        <f t="shared" ca="1" si="5"/>
        <v>0.95504876965748065</v>
      </c>
      <c r="C171" s="1594">
        <v>159</v>
      </c>
      <c r="D171" s="1665">
        <v>2719365.4824631587</v>
      </c>
    </row>
    <row r="172" spans="1:4" ht="16">
      <c r="A172" s="1632">
        <f t="shared" ca="1" si="4"/>
        <v>0.52523538987574359</v>
      </c>
      <c r="B172" s="1632">
        <f t="shared" ca="1" si="5"/>
        <v>1.2541452444673173</v>
      </c>
      <c r="C172" s="1594">
        <v>160</v>
      </c>
      <c r="D172" s="1665">
        <v>2719365.4824631587</v>
      </c>
    </row>
    <row r="173" spans="1:4" ht="16">
      <c r="A173" s="1632">
        <f t="shared" ca="1" si="4"/>
        <v>0.403133405706251</v>
      </c>
      <c r="B173" s="1632">
        <f t="shared" ca="1" si="5"/>
        <v>1.151591882362514</v>
      </c>
      <c r="C173" s="1594">
        <v>161</v>
      </c>
      <c r="D173" s="1665">
        <v>2719365.4824631587</v>
      </c>
    </row>
    <row r="174" spans="1:4" ht="16">
      <c r="A174" s="1632">
        <f t="shared" ca="1" si="4"/>
        <v>0.97689494702867141</v>
      </c>
      <c r="B174" s="1632">
        <f t="shared" ca="1" si="5"/>
        <v>1.913400656947051</v>
      </c>
      <c r="C174" s="1594">
        <v>162</v>
      </c>
      <c r="D174" s="1665">
        <v>2719365.4824631587</v>
      </c>
    </row>
    <row r="175" spans="1:4" ht="16">
      <c r="A175" s="1632">
        <f t="shared" ca="1" si="4"/>
        <v>0.99916432064031646</v>
      </c>
      <c r="B175" s="1632">
        <f t="shared" ca="1" si="5"/>
        <v>2.0645124135077757</v>
      </c>
      <c r="C175" s="1594">
        <v>163</v>
      </c>
      <c r="D175" s="1665">
        <v>2719365.4824631587</v>
      </c>
    </row>
    <row r="176" spans="1:4" ht="16">
      <c r="A176" s="1632">
        <f t="shared" ca="1" si="4"/>
        <v>0.89981586700953009</v>
      </c>
      <c r="B176" s="1632">
        <f t="shared" ca="1" si="5"/>
        <v>1.7114417824615749</v>
      </c>
      <c r="C176" s="1594">
        <v>164</v>
      </c>
      <c r="D176" s="1665">
        <v>2719365.4824631587</v>
      </c>
    </row>
    <row r="177" spans="1:4" ht="16">
      <c r="A177" s="1632">
        <f t="shared" ca="1" si="4"/>
        <v>2.9843047810009349E-2</v>
      </c>
      <c r="B177" s="1632">
        <f t="shared" ca="1" si="5"/>
        <v>0.83506637609112844</v>
      </c>
      <c r="C177" s="1594">
        <v>165</v>
      </c>
      <c r="D177" s="1665">
        <v>2719365.4824631587</v>
      </c>
    </row>
    <row r="178" spans="1:4" ht="16">
      <c r="A178" s="1632">
        <f t="shared" ca="1" si="4"/>
        <v>0.77851320327262086</v>
      </c>
      <c r="B178" s="1632">
        <f t="shared" ca="1" si="5"/>
        <v>1.5222625140531729</v>
      </c>
      <c r="C178" s="1594">
        <v>166</v>
      </c>
      <c r="D178" s="1665">
        <v>2719365.4824631587</v>
      </c>
    </row>
    <row r="179" spans="1:4" ht="16">
      <c r="A179" s="1632">
        <f t="shared" ca="1" si="4"/>
        <v>0.56426411269386756</v>
      </c>
      <c r="B179" s="1632">
        <f t="shared" ca="1" si="5"/>
        <v>1.2896581078517897</v>
      </c>
      <c r="C179" s="1594">
        <v>167</v>
      </c>
      <c r="D179" s="1665">
        <v>2719365.4824631587</v>
      </c>
    </row>
    <row r="180" spans="1:4" ht="16">
      <c r="A180" s="1632">
        <f t="shared" ca="1" si="4"/>
        <v>0.17577756970266123</v>
      </c>
      <c r="B180" s="1632">
        <f t="shared" ca="1" si="5"/>
        <v>0.98499043714032575</v>
      </c>
      <c r="C180" s="1594">
        <v>168</v>
      </c>
      <c r="D180" s="1665">
        <v>2719365.4824631587</v>
      </c>
    </row>
    <row r="181" spans="1:4" ht="16">
      <c r="A181" s="1632">
        <f t="shared" ca="1" si="4"/>
        <v>0.27443524019374355</v>
      </c>
      <c r="B181" s="1632">
        <f t="shared" ca="1" si="5"/>
        <v>1.0543298354509543</v>
      </c>
      <c r="C181" s="1594">
        <v>169</v>
      </c>
      <c r="D181" s="1665">
        <v>2719365.4824631587</v>
      </c>
    </row>
    <row r="182" spans="1:4" ht="16">
      <c r="A182" s="1632">
        <f t="shared" ca="1" si="4"/>
        <v>0.78423655722555508</v>
      </c>
      <c r="B182" s="1632">
        <f t="shared" ca="1" si="5"/>
        <v>1.5297759139942539</v>
      </c>
      <c r="C182" s="1594">
        <v>170</v>
      </c>
      <c r="D182" s="1665">
        <v>2719365.4824631587</v>
      </c>
    </row>
    <row r="183" spans="1:4" ht="16">
      <c r="A183" s="1632">
        <f t="shared" ca="1" si="4"/>
        <v>0.79598109832086628</v>
      </c>
      <c r="B183" s="1632">
        <f t="shared" ca="1" si="5"/>
        <v>1.5455124123747632</v>
      </c>
      <c r="C183" s="1594">
        <v>171</v>
      </c>
      <c r="D183" s="1665">
        <v>2719365.4824631587</v>
      </c>
    </row>
    <row r="184" spans="1:4" ht="16">
      <c r="A184" s="1632">
        <f t="shared" ca="1" si="4"/>
        <v>0.12616645002886206</v>
      </c>
      <c r="B184" s="1632">
        <f t="shared" ca="1" si="5"/>
        <v>0.94603002075099674</v>
      </c>
      <c r="C184" s="1594">
        <v>172</v>
      </c>
      <c r="D184" s="1665">
        <v>2719365.4824631587</v>
      </c>
    </row>
    <row r="185" spans="1:4" ht="16">
      <c r="A185" s="1632">
        <f t="shared" ca="1" si="4"/>
        <v>7.8474093015483914E-2</v>
      </c>
      <c r="B185" s="1632">
        <f t="shared" ca="1" si="5"/>
        <v>0.90037478395122772</v>
      </c>
      <c r="C185" s="1594">
        <v>173</v>
      </c>
      <c r="D185" s="1665">
        <v>2719365.4824631587</v>
      </c>
    </row>
    <row r="186" spans="1:4" ht="16">
      <c r="A186" s="1632">
        <f t="shared" ca="1" si="4"/>
        <v>0.14353596952585146</v>
      </c>
      <c r="B186" s="1632">
        <f t="shared" ca="1" si="5"/>
        <v>0.96042125580686444</v>
      </c>
      <c r="C186" s="1594">
        <v>174</v>
      </c>
      <c r="D186" s="1665">
        <v>2719365.4824631587</v>
      </c>
    </row>
    <row r="187" spans="1:4" ht="16">
      <c r="A187" s="1632">
        <f t="shared" ca="1" si="4"/>
        <v>0.84538598107847862</v>
      </c>
      <c r="B187" s="1632">
        <f t="shared" ca="1" si="5"/>
        <v>1.6172958188344204</v>
      </c>
      <c r="C187" s="1594">
        <v>175</v>
      </c>
      <c r="D187" s="1665">
        <v>2719365.4824631587</v>
      </c>
    </row>
    <row r="188" spans="1:4" ht="16">
      <c r="A188" s="1632">
        <f t="shared" ca="1" si="4"/>
        <v>0.89804464858601485</v>
      </c>
      <c r="B188" s="1632">
        <f t="shared" ca="1" si="5"/>
        <v>1.7080220483485384</v>
      </c>
      <c r="C188" s="1594">
        <v>176</v>
      </c>
      <c r="D188" s="1665">
        <v>2719365.4824631587</v>
      </c>
    </row>
    <row r="189" spans="1:4" ht="16">
      <c r="A189" s="1632">
        <f t="shared" ca="1" si="4"/>
        <v>0.99009149878307745</v>
      </c>
      <c r="B189" s="1632">
        <f t="shared" ca="1" si="5"/>
        <v>1.9778029814852167</v>
      </c>
      <c r="C189" s="1594">
        <v>177</v>
      </c>
      <c r="D189" s="1665">
        <v>2719365.4824631587</v>
      </c>
    </row>
    <row r="190" spans="1:4" ht="16">
      <c r="A190" s="1632">
        <f t="shared" ca="1" si="4"/>
        <v>0.77490877419798454</v>
      </c>
      <c r="B190" s="1632">
        <f t="shared" ca="1" si="5"/>
        <v>1.5175804971640825</v>
      </c>
      <c r="C190" s="1594">
        <v>178</v>
      </c>
      <c r="D190" s="1665">
        <v>2719365.4824631587</v>
      </c>
    </row>
    <row r="191" spans="1:4" ht="16">
      <c r="A191" s="1632">
        <f t="shared" ca="1" si="4"/>
        <v>0.41302557198156653</v>
      </c>
      <c r="B191" s="1632">
        <f t="shared" ca="1" si="5"/>
        <v>1.1594839379235573</v>
      </c>
      <c r="C191" s="1594">
        <v>179</v>
      </c>
      <c r="D191" s="1665">
        <v>2719365.4824631587</v>
      </c>
    </row>
    <row r="192" spans="1:4" ht="16">
      <c r="A192" s="1632">
        <f t="shared" ca="1" si="4"/>
        <v>0.7042655522022806</v>
      </c>
      <c r="B192" s="1632">
        <f t="shared" ca="1" si="5"/>
        <v>1.4324134416937657</v>
      </c>
      <c r="C192" s="1594">
        <v>180</v>
      </c>
      <c r="D192" s="1665">
        <v>2719365.4824631587</v>
      </c>
    </row>
    <row r="193" spans="1:4" ht="16">
      <c r="A193" s="1632">
        <f t="shared" ca="1" si="4"/>
        <v>0.99319808812583321</v>
      </c>
      <c r="B193" s="1632">
        <f t="shared" ca="1" si="5"/>
        <v>1.9987553399217057</v>
      </c>
      <c r="C193" s="1594">
        <v>181</v>
      </c>
      <c r="D193" s="1665">
        <v>2719365.4824631587</v>
      </c>
    </row>
    <row r="194" spans="1:4" ht="16">
      <c r="A194" s="1632">
        <f t="shared" ca="1" si="4"/>
        <v>0.51176644067029031</v>
      </c>
      <c r="B194" s="1632">
        <f t="shared" ca="1" si="5"/>
        <v>1.2422308154813018</v>
      </c>
      <c r="C194" s="1594">
        <v>182</v>
      </c>
      <c r="D194" s="1665">
        <v>2719365.4824631587</v>
      </c>
    </row>
    <row r="195" spans="1:4" ht="16">
      <c r="A195" s="1632">
        <f t="shared" ca="1" si="4"/>
        <v>0.17133332317648675</v>
      </c>
      <c r="B195" s="1632">
        <f t="shared" ca="1" si="5"/>
        <v>0.98174629340465458</v>
      </c>
      <c r="C195" s="1594">
        <v>183</v>
      </c>
      <c r="D195" s="1665">
        <v>2719365.4824631587</v>
      </c>
    </row>
    <row r="196" spans="1:4" ht="16">
      <c r="A196" s="1632">
        <f t="shared" ca="1" si="4"/>
        <v>0.35801503571579896</v>
      </c>
      <c r="B196" s="1632">
        <f t="shared" ca="1" si="5"/>
        <v>1.116398789561394</v>
      </c>
      <c r="C196" s="1594">
        <v>184</v>
      </c>
      <c r="D196" s="1665">
        <v>2719365.4824631587</v>
      </c>
    </row>
    <row r="197" spans="1:4" ht="16">
      <c r="A197" s="1632">
        <f t="shared" ca="1" si="4"/>
        <v>3.1144558320461813E-2</v>
      </c>
      <c r="B197" s="1632">
        <f t="shared" ca="1" si="5"/>
        <v>0.83733299643044923</v>
      </c>
      <c r="C197" s="1594">
        <v>185</v>
      </c>
      <c r="D197" s="1665">
        <v>2719365.4824631587</v>
      </c>
    </row>
    <row r="198" spans="1:4" ht="16">
      <c r="A198" s="1632">
        <f t="shared" ca="1" si="4"/>
        <v>0.77555116446855921</v>
      </c>
      <c r="B198" s="1632">
        <f t="shared" ca="1" si="5"/>
        <v>1.5184121776155546</v>
      </c>
      <c r="C198" s="1594">
        <v>186</v>
      </c>
      <c r="D198" s="1665">
        <v>2719365.4824631587</v>
      </c>
    </row>
    <row r="199" spans="1:4" ht="16">
      <c r="A199" s="1632">
        <f t="shared" ca="1" si="4"/>
        <v>0.41614499486105205</v>
      </c>
      <c r="B199" s="1632">
        <f t="shared" ca="1" si="5"/>
        <v>1.1619864112154907</v>
      </c>
      <c r="C199" s="1594">
        <v>187</v>
      </c>
      <c r="D199" s="1665">
        <v>2719365.4824631587</v>
      </c>
    </row>
    <row r="200" spans="1:4" ht="16">
      <c r="A200" s="1632">
        <f t="shared" ca="1" si="4"/>
        <v>0.85581126282378084</v>
      </c>
      <c r="B200" s="1632">
        <f t="shared" ca="1" si="5"/>
        <v>1.6338536421631482</v>
      </c>
      <c r="C200" s="1594">
        <v>188</v>
      </c>
      <c r="D200" s="1665">
        <v>2719365.4824631587</v>
      </c>
    </row>
    <row r="201" spans="1:4" ht="16">
      <c r="A201" s="1632">
        <f t="shared" ca="1" si="4"/>
        <v>0.85544730122366341</v>
      </c>
      <c r="B201" s="1632">
        <f t="shared" ca="1" si="5"/>
        <v>1.633265689009326</v>
      </c>
      <c r="C201" s="1594">
        <v>189</v>
      </c>
      <c r="D201" s="1665">
        <v>2719365.4824631587</v>
      </c>
    </row>
    <row r="202" spans="1:4" ht="16">
      <c r="A202" s="1632">
        <f t="shared" ca="1" si="4"/>
        <v>0.49372770696340529</v>
      </c>
      <c r="B202" s="1632">
        <f t="shared" ca="1" si="5"/>
        <v>1.2265285662334753</v>
      </c>
      <c r="C202" s="1594">
        <v>190</v>
      </c>
      <c r="D202" s="1665">
        <v>2719365.4824631587</v>
      </c>
    </row>
    <row r="203" spans="1:4" ht="16">
      <c r="A203" s="1632">
        <f t="shared" ca="1" si="4"/>
        <v>0.52414379439544279</v>
      </c>
      <c r="B203" s="1632">
        <f t="shared" ca="1" si="5"/>
        <v>1.253173393281678</v>
      </c>
      <c r="C203" s="1594">
        <v>191</v>
      </c>
      <c r="D203" s="1665">
        <v>2719365.4824631587</v>
      </c>
    </row>
    <row r="204" spans="1:4" ht="16">
      <c r="A204" s="1632">
        <f t="shared" ca="1" si="4"/>
        <v>0.10194366513312125</v>
      </c>
      <c r="B204" s="1632">
        <f t="shared" ca="1" si="5"/>
        <v>0.92418795465409675</v>
      </c>
      <c r="C204" s="1594">
        <v>192</v>
      </c>
      <c r="D204" s="1665">
        <v>2719365.4824631587</v>
      </c>
    </row>
    <row r="205" spans="1:4" ht="16">
      <c r="A205" s="1632">
        <f t="shared" ref="A205:A268" ca="1" si="6">RAND()</f>
        <v>0.2599088208335788</v>
      </c>
      <c r="B205" s="1632">
        <f t="shared" ref="B205:B268" ca="1" si="7">IF(A205&lt;=(B$5-B$4)/(B$6-B$4),$B$4+SQRT(A205*(B$6-B$4)*(B$5-B$4)),B$6-SQRT((1-A205)*(B$6-B$4)*(-B$5+B$6)))</f>
        <v>1.0439141100252325</v>
      </c>
      <c r="C205" s="1594">
        <v>193</v>
      </c>
      <c r="D205" s="1665">
        <v>2719365.4824631587</v>
      </c>
    </row>
    <row r="206" spans="1:4" ht="16">
      <c r="A206" s="1632">
        <f t="shared" ca="1" si="6"/>
        <v>0.79868912189293662</v>
      </c>
      <c r="B206" s="1632">
        <f t="shared" ca="1" si="7"/>
        <v>1.5492046720356605</v>
      </c>
      <c r="C206" s="1594">
        <v>194</v>
      </c>
      <c r="D206" s="1665">
        <v>2719365.4824631587</v>
      </c>
    </row>
    <row r="207" spans="1:4" ht="16">
      <c r="A207" s="1632">
        <f t="shared" ca="1" si="6"/>
        <v>0.12200675550585816</v>
      </c>
      <c r="B207" s="1632">
        <f t="shared" ca="1" si="7"/>
        <v>0.9424389297224427</v>
      </c>
      <c r="C207" s="1594">
        <v>195</v>
      </c>
      <c r="D207" s="1665">
        <v>2719365.4824631587</v>
      </c>
    </row>
    <row r="208" spans="1:4" ht="16">
      <c r="A208" s="1632">
        <f t="shared" ca="1" si="6"/>
        <v>5.4865551477484842E-2</v>
      </c>
      <c r="B208" s="1632">
        <f t="shared" ca="1" si="7"/>
        <v>0.87245970479936297</v>
      </c>
      <c r="C208" s="1594">
        <v>196</v>
      </c>
      <c r="D208" s="1665">
        <v>2719365.4824631587</v>
      </c>
    </row>
    <row r="209" spans="1:4" ht="16">
      <c r="A209" s="1632">
        <f t="shared" ca="1" si="6"/>
        <v>0.30631349798945973</v>
      </c>
      <c r="B209" s="1632">
        <f t="shared" ca="1" si="7"/>
        <v>1.0775590195371254</v>
      </c>
      <c r="C209" s="1594">
        <v>197</v>
      </c>
      <c r="D209" s="1665">
        <v>2719365.4824631587</v>
      </c>
    </row>
    <row r="210" spans="1:4" ht="16">
      <c r="A210" s="1632">
        <f t="shared" ca="1" si="6"/>
        <v>0.88872529244070775</v>
      </c>
      <c r="B210" s="1632">
        <f t="shared" ca="1" si="7"/>
        <v>1.6904991034297319</v>
      </c>
      <c r="C210" s="1594">
        <v>198</v>
      </c>
      <c r="D210" s="1665">
        <v>2719365.4824631587</v>
      </c>
    </row>
    <row r="211" spans="1:4" ht="16">
      <c r="A211" s="1632">
        <f t="shared" ca="1" si="6"/>
        <v>0.6711407188075541</v>
      </c>
      <c r="B211" s="1632">
        <f t="shared" ca="1" si="7"/>
        <v>1.3960178008237594</v>
      </c>
      <c r="C211" s="1594">
        <v>199</v>
      </c>
      <c r="D211" s="1665">
        <v>2719365.4824631587</v>
      </c>
    </row>
    <row r="212" spans="1:4" ht="16">
      <c r="A212" s="1632">
        <f t="shared" ca="1" si="6"/>
        <v>0.12728664317448435</v>
      </c>
      <c r="B212" s="1632">
        <f t="shared" ca="1" si="7"/>
        <v>0.94698693350117136</v>
      </c>
      <c r="C212" s="1594">
        <v>200</v>
      </c>
      <c r="D212" s="1665">
        <v>2719365.4824631587</v>
      </c>
    </row>
    <row r="213" spans="1:4" ht="16">
      <c r="A213" s="1632">
        <f t="shared" ca="1" si="6"/>
        <v>0.16440404476516401</v>
      </c>
      <c r="B213" s="1632">
        <f t="shared" ca="1" si="7"/>
        <v>0.97660303355521427</v>
      </c>
      <c r="C213" s="1594">
        <v>201</v>
      </c>
      <c r="D213" s="1665">
        <v>2719365.4824631587</v>
      </c>
    </row>
    <row r="214" spans="1:4" ht="16">
      <c r="A214" s="1632">
        <f t="shared" ca="1" si="6"/>
        <v>0.97175227404650621</v>
      </c>
      <c r="B214" s="1632">
        <f t="shared" ca="1" si="7"/>
        <v>1.8936766542246974</v>
      </c>
      <c r="C214" s="1594">
        <v>202</v>
      </c>
      <c r="D214" s="1665">
        <v>2719365.4824631587</v>
      </c>
    </row>
    <row r="215" spans="1:4" ht="16">
      <c r="A215" s="1632">
        <f t="shared" ca="1" si="6"/>
        <v>0.54124331420780281</v>
      </c>
      <c r="B215" s="1632">
        <f t="shared" ca="1" si="7"/>
        <v>1.2685276159193011</v>
      </c>
      <c r="C215" s="1594">
        <v>203</v>
      </c>
      <c r="D215" s="1665">
        <v>2719365.4824631587</v>
      </c>
    </row>
    <row r="216" spans="1:4" ht="16">
      <c r="A216" s="1632">
        <f t="shared" ca="1" si="6"/>
        <v>0.15387805654033915</v>
      </c>
      <c r="B216" s="1632">
        <f t="shared" ca="1" si="7"/>
        <v>0.96857806503170285</v>
      </c>
      <c r="C216" s="1594">
        <v>204</v>
      </c>
      <c r="D216" s="1665">
        <v>2719365.4824631587</v>
      </c>
    </row>
    <row r="217" spans="1:4" ht="16">
      <c r="A217" s="1632">
        <f t="shared" ca="1" si="6"/>
        <v>0.88987644466703675</v>
      </c>
      <c r="B217" s="1632">
        <f t="shared" ca="1" si="7"/>
        <v>1.6926227818265047</v>
      </c>
      <c r="C217" s="1594">
        <v>205</v>
      </c>
      <c r="D217" s="1665">
        <v>2719365.4824631587</v>
      </c>
    </row>
    <row r="218" spans="1:4" ht="16">
      <c r="A218" s="1632">
        <f t="shared" ca="1" si="6"/>
        <v>0.18979527824769238</v>
      </c>
      <c r="B218" s="1632">
        <f t="shared" ca="1" si="7"/>
        <v>0.99496277743075801</v>
      </c>
      <c r="C218" s="1594">
        <v>206</v>
      </c>
      <c r="D218" s="1665">
        <v>2719365.4824631587</v>
      </c>
    </row>
    <row r="219" spans="1:4" ht="16">
      <c r="A219" s="1632">
        <f t="shared" ca="1" si="6"/>
        <v>0.57190508480047175</v>
      </c>
      <c r="B219" s="1632">
        <f t="shared" ca="1" si="7"/>
        <v>1.2967945236705063</v>
      </c>
      <c r="C219" s="1594">
        <v>207</v>
      </c>
      <c r="D219" s="1665">
        <v>2719365.4824631587</v>
      </c>
    </row>
    <row r="220" spans="1:4" ht="16">
      <c r="A220" s="1632">
        <f t="shared" ca="1" si="6"/>
        <v>0.30185328242340803</v>
      </c>
      <c r="B220" s="1632">
        <f t="shared" ca="1" si="7"/>
        <v>1.0742772775316303</v>
      </c>
      <c r="C220" s="1594">
        <v>208</v>
      </c>
      <c r="D220" s="1665">
        <v>2719365.4824631587</v>
      </c>
    </row>
    <row r="221" spans="1:4" ht="16">
      <c r="A221" s="1632">
        <f t="shared" ca="1" si="6"/>
        <v>0.26712045482292979</v>
      </c>
      <c r="B221" s="1632">
        <f t="shared" ca="1" si="7"/>
        <v>1.0490720887797085</v>
      </c>
      <c r="C221" s="1594">
        <v>209</v>
      </c>
      <c r="D221" s="1665">
        <v>2719365.4824631587</v>
      </c>
    </row>
    <row r="222" spans="1:4" ht="16">
      <c r="A222" s="1632">
        <f t="shared" ca="1" si="6"/>
        <v>0.17954757727909543</v>
      </c>
      <c r="B222" s="1632">
        <f t="shared" ca="1" si="7"/>
        <v>0.98771039722047971</v>
      </c>
      <c r="C222" s="1594">
        <v>210</v>
      </c>
      <c r="D222" s="1665">
        <v>2719365.4824631587</v>
      </c>
    </row>
    <row r="223" spans="1:4" ht="16">
      <c r="A223" s="1632">
        <f t="shared" ca="1" si="6"/>
        <v>6.5793371892343133E-3</v>
      </c>
      <c r="B223" s="1632">
        <f t="shared" ca="1" si="7"/>
        <v>0.77933251287232153</v>
      </c>
      <c r="C223" s="1594">
        <v>211</v>
      </c>
      <c r="D223" s="1665">
        <v>2719365.4824631587</v>
      </c>
    </row>
    <row r="224" spans="1:4" ht="16">
      <c r="A224" s="1632">
        <f t="shared" ca="1" si="6"/>
        <v>0.80243973836872862</v>
      </c>
      <c r="B224" s="1632">
        <f t="shared" ca="1" si="7"/>
        <v>1.5543597208065318</v>
      </c>
      <c r="C224" s="1594">
        <v>212</v>
      </c>
      <c r="D224" s="1665">
        <v>2719365.4824631587</v>
      </c>
    </row>
    <row r="225" spans="1:4" ht="16">
      <c r="A225" s="1632">
        <f t="shared" ca="1" si="6"/>
        <v>0.58465180647225645</v>
      </c>
      <c r="B225" s="1632">
        <f t="shared" ca="1" si="7"/>
        <v>1.3088427920783952</v>
      </c>
      <c r="C225" s="1594">
        <v>213</v>
      </c>
      <c r="D225" s="1665">
        <v>2719365.4824631587</v>
      </c>
    </row>
    <row r="226" spans="1:4" ht="16">
      <c r="A226" s="1632">
        <f t="shared" ca="1" si="6"/>
        <v>0.27182298119541115</v>
      </c>
      <c r="B226" s="1632">
        <f t="shared" ca="1" si="7"/>
        <v>1.0524491576355277</v>
      </c>
      <c r="C226" s="1594">
        <v>214</v>
      </c>
      <c r="D226" s="1665">
        <v>2719365.4824631587</v>
      </c>
    </row>
    <row r="227" spans="1:4" ht="16">
      <c r="A227" s="1632">
        <f t="shared" ca="1" si="6"/>
        <v>0.19565892256423356</v>
      </c>
      <c r="B227" s="1632">
        <f t="shared" ca="1" si="7"/>
        <v>0.99902460009543737</v>
      </c>
      <c r="C227" s="1594">
        <v>215</v>
      </c>
      <c r="D227" s="1665">
        <v>2719365.4824631587</v>
      </c>
    </row>
    <row r="228" spans="1:4" ht="16">
      <c r="A228" s="1632">
        <f t="shared" ca="1" si="6"/>
        <v>0.95992227898913562</v>
      </c>
      <c r="B228" s="1632">
        <f t="shared" ca="1" si="7"/>
        <v>1.8542417334790697</v>
      </c>
      <c r="C228" s="1594">
        <v>216</v>
      </c>
      <c r="D228" s="1665">
        <v>2719365.4824631587</v>
      </c>
    </row>
    <row r="229" spans="1:4" ht="16">
      <c r="A229" s="1632">
        <f t="shared" ca="1" si="6"/>
        <v>0.90648568929507034</v>
      </c>
      <c r="B229" s="1632">
        <f t="shared" ca="1" si="7"/>
        <v>1.7245987929796589</v>
      </c>
      <c r="C229" s="1594">
        <v>217</v>
      </c>
      <c r="D229" s="1665">
        <v>2719365.4824631587</v>
      </c>
    </row>
    <row r="230" spans="1:4" ht="16">
      <c r="A230" s="1632">
        <f t="shared" ca="1" si="6"/>
        <v>0.85788055055149148</v>
      </c>
      <c r="B230" s="1632">
        <f t="shared" ca="1" si="7"/>
        <v>1.6372106199156011</v>
      </c>
      <c r="C230" s="1594">
        <v>218</v>
      </c>
      <c r="D230" s="1665">
        <v>2719365.4824631587</v>
      </c>
    </row>
    <row r="231" spans="1:4" ht="16">
      <c r="A231" s="1632">
        <f t="shared" ca="1" si="6"/>
        <v>0.65973700639608801</v>
      </c>
      <c r="B231" s="1632">
        <f t="shared" ca="1" si="7"/>
        <v>1.3839159746502543</v>
      </c>
      <c r="C231" s="1594">
        <v>219</v>
      </c>
      <c r="D231" s="1665">
        <v>2719365.4824631587</v>
      </c>
    </row>
    <row r="232" spans="1:4" ht="16">
      <c r="A232" s="1632">
        <f t="shared" ca="1" si="6"/>
        <v>0.51636548822082518</v>
      </c>
      <c r="B232" s="1632">
        <f t="shared" ca="1" si="7"/>
        <v>1.2462803684749797</v>
      </c>
      <c r="C232" s="1594">
        <v>220</v>
      </c>
      <c r="D232" s="1665">
        <v>2719365.4824631587</v>
      </c>
    </row>
    <row r="233" spans="1:4" ht="16">
      <c r="A233" s="1632">
        <f t="shared" ca="1" si="6"/>
        <v>0.34688124538842124</v>
      </c>
      <c r="B233" s="1632">
        <f t="shared" ca="1" si="7"/>
        <v>1.1079062729763638</v>
      </c>
      <c r="C233" s="1594">
        <v>221</v>
      </c>
      <c r="D233" s="1665">
        <v>2719365.4824631587</v>
      </c>
    </row>
    <row r="234" spans="1:4" ht="16">
      <c r="A234" s="1632">
        <f t="shared" ca="1" si="6"/>
        <v>0.96958307059827875</v>
      </c>
      <c r="B234" s="1632">
        <f t="shared" ca="1" si="7"/>
        <v>1.8859011615902741</v>
      </c>
      <c r="C234" s="1594">
        <v>222</v>
      </c>
      <c r="D234" s="1665">
        <v>2719365.4824631587</v>
      </c>
    </row>
    <row r="235" spans="1:4" ht="16">
      <c r="A235" s="1632">
        <f t="shared" ca="1" si="6"/>
        <v>0.32030253557198562</v>
      </c>
      <c r="B235" s="1632">
        <f t="shared" ca="1" si="7"/>
        <v>1.0879209127281517</v>
      </c>
      <c r="C235" s="1594">
        <v>223</v>
      </c>
      <c r="D235" s="1665">
        <v>2719365.4824631587</v>
      </c>
    </row>
    <row r="236" spans="1:4" ht="16">
      <c r="A236" s="1632">
        <f t="shared" ca="1" si="6"/>
        <v>0.4445403635503179</v>
      </c>
      <c r="B236" s="1632">
        <f t="shared" ca="1" si="7"/>
        <v>1.1850805105750175</v>
      </c>
      <c r="C236" s="1594">
        <v>224</v>
      </c>
      <c r="D236" s="1665">
        <v>2719365.4824631587</v>
      </c>
    </row>
    <row r="237" spans="1:4" ht="16">
      <c r="A237" s="1632">
        <f t="shared" ca="1" si="6"/>
        <v>0.56672251522722372</v>
      </c>
      <c r="B237" s="1632">
        <f t="shared" ca="1" si="7"/>
        <v>1.2919472977877162</v>
      </c>
      <c r="C237" s="1594">
        <v>225</v>
      </c>
      <c r="D237" s="1665">
        <v>2719365.4824631587</v>
      </c>
    </row>
    <row r="238" spans="1:4" ht="16">
      <c r="A238" s="1632">
        <f t="shared" ca="1" si="6"/>
        <v>0.26983412586035316</v>
      </c>
      <c r="B238" s="1632">
        <f t="shared" ca="1" si="7"/>
        <v>1.0510195557931274</v>
      </c>
      <c r="C238" s="1594">
        <v>226</v>
      </c>
      <c r="D238" s="1665">
        <v>2719365.4824631587</v>
      </c>
    </row>
    <row r="239" spans="1:4" ht="16">
      <c r="A239" s="1632">
        <f t="shared" ca="1" si="6"/>
        <v>0.95489137547471414</v>
      </c>
      <c r="B239" s="1632">
        <f t="shared" ca="1" si="7"/>
        <v>1.8392727533233135</v>
      </c>
      <c r="C239" s="1594">
        <v>227</v>
      </c>
      <c r="D239" s="1665">
        <v>2719365.4824631587</v>
      </c>
    </row>
    <row r="240" spans="1:4" ht="16">
      <c r="A240" s="1632">
        <f t="shared" ca="1" si="6"/>
        <v>3.1294063196438016E-2</v>
      </c>
      <c r="B240" s="1632">
        <f t="shared" ca="1" si="7"/>
        <v>0.83759030614494234</v>
      </c>
      <c r="C240" s="1594">
        <v>228</v>
      </c>
      <c r="D240" s="1665">
        <v>2719365.4824631587</v>
      </c>
    </row>
    <row r="241" spans="1:4" ht="16">
      <c r="A241" s="1632">
        <f t="shared" ca="1" si="6"/>
        <v>9.9869700811320072E-2</v>
      </c>
      <c r="B241" s="1632">
        <f t="shared" ca="1" si="7"/>
        <v>0.92220250344391275</v>
      </c>
      <c r="C241" s="1594">
        <v>229</v>
      </c>
      <c r="D241" s="1665">
        <v>2719365.4824631587</v>
      </c>
    </row>
    <row r="242" spans="1:4" ht="16">
      <c r="A242" s="1632">
        <f t="shared" ca="1" si="6"/>
        <v>0.27487198886065922</v>
      </c>
      <c r="B242" s="1632">
        <f t="shared" ca="1" si="7"/>
        <v>1.0546445997714526</v>
      </c>
      <c r="C242" s="1594">
        <v>230</v>
      </c>
      <c r="D242" s="1665">
        <v>2719365.4824631587</v>
      </c>
    </row>
    <row r="243" spans="1:4" ht="16">
      <c r="A243" s="1632">
        <f t="shared" ca="1" si="6"/>
        <v>8.1420747924530357E-2</v>
      </c>
      <c r="B243" s="1632">
        <f t="shared" ca="1" si="7"/>
        <v>0.90354404241368758</v>
      </c>
      <c r="C243" s="1594">
        <v>231</v>
      </c>
      <c r="D243" s="1665">
        <v>2719365.4824631587</v>
      </c>
    </row>
    <row r="244" spans="1:4" ht="16">
      <c r="A244" s="1632">
        <f t="shared" ca="1" si="6"/>
        <v>7.6765799946659774E-2</v>
      </c>
      <c r="B244" s="1632">
        <f t="shared" ca="1" si="7"/>
        <v>0.89851014628285575</v>
      </c>
      <c r="C244" s="1594">
        <v>232</v>
      </c>
      <c r="D244" s="1665">
        <v>2719365.4824631587</v>
      </c>
    </row>
    <row r="245" spans="1:4" ht="16">
      <c r="A245" s="1632">
        <f t="shared" ca="1" si="6"/>
        <v>0.24153876080314174</v>
      </c>
      <c r="B245" s="1632">
        <f t="shared" ca="1" si="7"/>
        <v>1.0308877105422156</v>
      </c>
      <c r="C245" s="1594">
        <v>233</v>
      </c>
      <c r="D245" s="1665">
        <v>2719365.4824631587</v>
      </c>
    </row>
    <row r="246" spans="1:4" ht="16">
      <c r="A246" s="1632">
        <f t="shared" ca="1" si="6"/>
        <v>0.71316658785523313</v>
      </c>
      <c r="B246" s="1632">
        <f t="shared" ca="1" si="7"/>
        <v>1.4425367294653155</v>
      </c>
      <c r="C246" s="1594">
        <v>234</v>
      </c>
      <c r="D246" s="1665">
        <v>2719365.4824631587</v>
      </c>
    </row>
    <row r="247" spans="1:4" ht="16">
      <c r="A247" s="1632">
        <f t="shared" ca="1" si="6"/>
        <v>0.23071081628372903</v>
      </c>
      <c r="B247" s="1632">
        <f t="shared" ca="1" si="7"/>
        <v>1.0232833242396493</v>
      </c>
      <c r="C247" s="1594">
        <v>235</v>
      </c>
      <c r="D247" s="1665">
        <v>2719365.4824631587</v>
      </c>
    </row>
    <row r="248" spans="1:4" ht="16">
      <c r="A248" s="1632">
        <f t="shared" ca="1" si="6"/>
        <v>0.56442785926172701</v>
      </c>
      <c r="B248" s="1632">
        <f t="shared" ca="1" si="7"/>
        <v>1.2898103826309688</v>
      </c>
      <c r="C248" s="1594">
        <v>236</v>
      </c>
      <c r="D248" s="1665">
        <v>2719365.4824631587</v>
      </c>
    </row>
    <row r="249" spans="1:4" ht="16">
      <c r="A249" s="1632">
        <f t="shared" ca="1" si="6"/>
        <v>0.21285255460576136</v>
      </c>
      <c r="B249" s="1632">
        <f t="shared" ca="1" si="7"/>
        <v>1.0108575849737935</v>
      </c>
      <c r="C249" s="1594">
        <v>237</v>
      </c>
      <c r="D249" s="1665">
        <v>2719365.4824631587</v>
      </c>
    </row>
    <row r="250" spans="1:4" ht="16">
      <c r="A250" s="1632">
        <f t="shared" ca="1" si="6"/>
        <v>0.17211293171417041</v>
      </c>
      <c r="B250" s="1632">
        <f t="shared" ca="1" si="7"/>
        <v>0.98231839695327738</v>
      </c>
      <c r="C250" s="1594">
        <v>238</v>
      </c>
      <c r="D250" s="1665">
        <v>2719365.4824631587</v>
      </c>
    </row>
    <row r="251" spans="1:4" ht="16">
      <c r="A251" s="1632">
        <f t="shared" ca="1" si="6"/>
        <v>0.79073269597242202</v>
      </c>
      <c r="B251" s="1632">
        <f t="shared" ca="1" si="7"/>
        <v>1.538425581806329</v>
      </c>
      <c r="C251" s="1594">
        <v>239</v>
      </c>
      <c r="D251" s="1665">
        <v>2719365.4824631587</v>
      </c>
    </row>
    <row r="252" spans="1:4" ht="16">
      <c r="A252" s="1632">
        <f t="shared" ca="1" si="6"/>
        <v>0.37821893732440226</v>
      </c>
      <c r="B252" s="1632">
        <f t="shared" ca="1" si="7"/>
        <v>1.1319999682582</v>
      </c>
      <c r="C252" s="1594">
        <v>240</v>
      </c>
      <c r="D252" s="1665">
        <v>2719365.4824631587</v>
      </c>
    </row>
    <row r="253" spans="1:4" ht="16">
      <c r="A253" s="1632">
        <f t="shared" ca="1" si="6"/>
        <v>0.71484395632488062</v>
      </c>
      <c r="B253" s="1632">
        <f t="shared" ca="1" si="7"/>
        <v>1.4444619325939914</v>
      </c>
      <c r="C253" s="1594">
        <v>241</v>
      </c>
      <c r="D253" s="1665">
        <v>2719365.4824631587</v>
      </c>
    </row>
    <row r="254" spans="1:4" ht="16">
      <c r="A254" s="1632">
        <f t="shared" ca="1" si="6"/>
        <v>3.3805247278218209E-2</v>
      </c>
      <c r="B254" s="1632">
        <f t="shared" ca="1" si="7"/>
        <v>0.84182379428463738</v>
      </c>
      <c r="C254" s="1594">
        <v>242</v>
      </c>
      <c r="D254" s="1665">
        <v>2719365.4824631587</v>
      </c>
    </row>
    <row r="255" spans="1:4" ht="16">
      <c r="A255" s="1632">
        <f t="shared" ca="1" si="6"/>
        <v>0.26201836419824176</v>
      </c>
      <c r="B255" s="1632">
        <f t="shared" ca="1" si="7"/>
        <v>1.045420308770717</v>
      </c>
      <c r="C255" s="1594">
        <v>243</v>
      </c>
      <c r="D255" s="1665">
        <v>2719365.4824631587</v>
      </c>
    </row>
    <row r="256" spans="1:4" ht="16">
      <c r="A256" s="1632">
        <f t="shared" ca="1" si="6"/>
        <v>0.58372214902238007</v>
      </c>
      <c r="B256" s="1632">
        <f t="shared" ca="1" si="7"/>
        <v>1.3079578790094095</v>
      </c>
      <c r="C256" s="1594">
        <v>244</v>
      </c>
      <c r="D256" s="1665">
        <v>2719365.4824631587</v>
      </c>
    </row>
    <row r="257" spans="1:4" ht="16">
      <c r="A257" s="1632">
        <f t="shared" ca="1" si="6"/>
        <v>0.49321151087262216</v>
      </c>
      <c r="B257" s="1632">
        <f t="shared" ca="1" si="7"/>
        <v>1.2260833832024027</v>
      </c>
      <c r="C257" s="1594">
        <v>245</v>
      </c>
      <c r="D257" s="1665">
        <v>2719365.4824631587</v>
      </c>
    </row>
    <row r="258" spans="1:4" ht="16">
      <c r="A258" s="1632">
        <f t="shared" ca="1" si="6"/>
        <v>0.82868853340176651</v>
      </c>
      <c r="B258" s="1632">
        <f t="shared" ca="1" si="7"/>
        <v>1.5918992421147773</v>
      </c>
      <c r="C258" s="1594">
        <v>246</v>
      </c>
      <c r="D258" s="1665">
        <v>2719365.4824631587</v>
      </c>
    </row>
    <row r="259" spans="1:4" ht="16">
      <c r="A259" s="1632">
        <f t="shared" ca="1" si="6"/>
        <v>0.31720297496173455</v>
      </c>
      <c r="B259" s="1632">
        <f t="shared" ca="1" si="7"/>
        <v>1.085615892902168</v>
      </c>
      <c r="C259" s="1594">
        <v>247</v>
      </c>
      <c r="D259" s="1665">
        <v>2719365.4824631587</v>
      </c>
    </row>
    <row r="260" spans="1:4" ht="16">
      <c r="A260" s="1632">
        <f t="shared" ca="1" si="6"/>
        <v>0.84582973436630793</v>
      </c>
      <c r="B260" s="1632">
        <f t="shared" ca="1" si="7"/>
        <v>1.6179890143264639</v>
      </c>
      <c r="C260" s="1594">
        <v>248</v>
      </c>
      <c r="D260" s="1665">
        <v>2719365.4824631587</v>
      </c>
    </row>
    <row r="261" spans="1:4" ht="16">
      <c r="A261" s="1632">
        <f t="shared" ca="1" si="6"/>
        <v>0.1117737256350948</v>
      </c>
      <c r="B261" s="1632">
        <f t="shared" ca="1" si="7"/>
        <v>0.93333494808424244</v>
      </c>
      <c r="C261" s="1594">
        <v>249</v>
      </c>
      <c r="D261" s="1665">
        <v>2719365.4824631587</v>
      </c>
    </row>
    <row r="262" spans="1:4" ht="16">
      <c r="A262" s="1632">
        <f t="shared" ca="1" si="6"/>
        <v>8.3682136149951125E-2</v>
      </c>
      <c r="B262" s="1632">
        <f t="shared" ca="1" si="7"/>
        <v>0.90593755188096403</v>
      </c>
      <c r="C262" s="1594">
        <v>250</v>
      </c>
      <c r="D262" s="1665">
        <v>2719365.4824631587</v>
      </c>
    </row>
    <row r="263" spans="1:4" ht="16">
      <c r="A263" s="1632">
        <f t="shared" ca="1" si="6"/>
        <v>0.29883531171609001</v>
      </c>
      <c r="B263" s="1632">
        <f t="shared" ca="1" si="7"/>
        <v>1.0720626550008741</v>
      </c>
      <c r="C263" s="1594">
        <v>251</v>
      </c>
      <c r="D263" s="1665">
        <v>2719365.4824631587</v>
      </c>
    </row>
    <row r="264" spans="1:4" ht="16">
      <c r="A264" s="1632">
        <f t="shared" ca="1" si="6"/>
        <v>0.59054175497102679</v>
      </c>
      <c r="B264" s="1632">
        <f t="shared" ca="1" si="7"/>
        <v>1.3144724223436439</v>
      </c>
      <c r="C264" s="1594">
        <v>252</v>
      </c>
      <c r="D264" s="1665">
        <v>2719365.4824631587</v>
      </c>
    </row>
    <row r="265" spans="1:4" ht="16">
      <c r="A265" s="1632">
        <f t="shared" ca="1" si="6"/>
        <v>0.16933768126896687</v>
      </c>
      <c r="B265" s="1632">
        <f t="shared" ca="1" si="7"/>
        <v>0.98027586440044678</v>
      </c>
      <c r="C265" s="1594">
        <v>253</v>
      </c>
      <c r="D265" s="1665">
        <v>2719365.4824631587</v>
      </c>
    </row>
    <row r="266" spans="1:4" ht="16">
      <c r="A266" s="1632">
        <f t="shared" ca="1" si="6"/>
        <v>0.9253006082053965</v>
      </c>
      <c r="B266" s="1632">
        <f t="shared" ca="1" si="7"/>
        <v>1.7644825139661608</v>
      </c>
      <c r="C266" s="1594">
        <v>254</v>
      </c>
      <c r="D266" s="1665">
        <v>2719365.4824631587</v>
      </c>
    </row>
    <row r="267" spans="1:4" ht="16">
      <c r="A267" s="1632">
        <f t="shared" ca="1" si="6"/>
        <v>6.207165474231513E-2</v>
      </c>
      <c r="B267" s="1632">
        <f t="shared" ca="1" si="7"/>
        <v>0.88152658212070367</v>
      </c>
      <c r="C267" s="1594">
        <v>255</v>
      </c>
      <c r="D267" s="1665">
        <v>2719365.4824631587</v>
      </c>
    </row>
    <row r="268" spans="1:4" ht="16">
      <c r="A268" s="1632">
        <f t="shared" ca="1" si="6"/>
        <v>0.54350889176143691</v>
      </c>
      <c r="B268" s="1632">
        <f t="shared" ca="1" si="7"/>
        <v>1.27058327716671</v>
      </c>
      <c r="C268" s="1594">
        <v>256</v>
      </c>
      <c r="D268" s="1665">
        <v>2719365.4824631587</v>
      </c>
    </row>
    <row r="269" spans="1:4" ht="16">
      <c r="A269" s="1632">
        <f t="shared" ref="A269:A332" ca="1" si="8">RAND()</f>
        <v>0.3316967351932405</v>
      </c>
      <c r="B269" s="1632">
        <f t="shared" ref="B269:B332" ca="1" si="9">IF(A269&lt;=(B$5-B$4)/(B$6-B$4),$B$4+SQRT(A269*(B$6-B$4)*(B$5-B$4)),B$6-SQRT((1-A269)*(B$6-B$4)*(-B$5+B$6)))</f>
        <v>1.0964398273826395</v>
      </c>
      <c r="C269" s="1594">
        <v>257</v>
      </c>
      <c r="D269" s="1665">
        <v>2719365.4824631587</v>
      </c>
    </row>
    <row r="270" spans="1:4" ht="16">
      <c r="A270" s="1632">
        <f t="shared" ca="1" si="8"/>
        <v>0.62001622103709975</v>
      </c>
      <c r="B270" s="1632">
        <f t="shared" ca="1" si="9"/>
        <v>1.3432731305833716</v>
      </c>
      <c r="C270" s="1594">
        <v>258</v>
      </c>
      <c r="D270" s="1665">
        <v>2719365.4824631587</v>
      </c>
    </row>
    <row r="271" spans="1:4" ht="16">
      <c r="A271" s="1632">
        <f t="shared" ca="1" si="8"/>
        <v>0.24914646320993228</v>
      </c>
      <c r="B271" s="1632">
        <f t="shared" ca="1" si="9"/>
        <v>1.0362630588615285</v>
      </c>
      <c r="C271" s="1594">
        <v>259</v>
      </c>
      <c r="D271" s="1665">
        <v>2719365.4824631587</v>
      </c>
    </row>
    <row r="272" spans="1:4" ht="16">
      <c r="A272" s="1632">
        <f t="shared" ca="1" si="8"/>
        <v>0.53342052172814347</v>
      </c>
      <c r="B272" s="1632">
        <f t="shared" ca="1" si="9"/>
        <v>1.2614683823756627</v>
      </c>
      <c r="C272" s="1594">
        <v>260</v>
      </c>
      <c r="D272" s="1665">
        <v>2719365.4824631587</v>
      </c>
    </row>
    <row r="273" spans="1:4" ht="16">
      <c r="A273" s="1632">
        <f t="shared" ca="1" si="8"/>
        <v>7.9827809758343027E-2</v>
      </c>
      <c r="B273" s="1632">
        <f t="shared" ca="1" si="9"/>
        <v>0.90183802498169918</v>
      </c>
      <c r="C273" s="1594">
        <v>261</v>
      </c>
      <c r="D273" s="1665">
        <v>2719365.4824631587</v>
      </c>
    </row>
    <row r="274" spans="1:4" ht="16">
      <c r="A274" s="1632">
        <f t="shared" ca="1" si="8"/>
        <v>0.93943174406330854</v>
      </c>
      <c r="B274" s="1632">
        <f t="shared" ca="1" si="9"/>
        <v>1.7978802196204393</v>
      </c>
      <c r="C274" s="1594">
        <v>262</v>
      </c>
      <c r="D274" s="1665">
        <v>2719365.4824631587</v>
      </c>
    </row>
    <row r="275" spans="1:4" ht="16">
      <c r="A275" s="1632">
        <f t="shared" ca="1" si="8"/>
        <v>0.5115782337650101</v>
      </c>
      <c r="B275" s="1632">
        <f t="shared" ca="1" si="9"/>
        <v>1.2420655026657748</v>
      </c>
      <c r="C275" s="1594">
        <v>263</v>
      </c>
      <c r="D275" s="1665">
        <v>2719365.4824631587</v>
      </c>
    </row>
    <row r="276" spans="1:4" ht="16">
      <c r="A276" s="1632">
        <f t="shared" ca="1" si="8"/>
        <v>0.48467288185445179</v>
      </c>
      <c r="B276" s="1632">
        <f t="shared" ca="1" si="9"/>
        <v>1.2187520399766356</v>
      </c>
      <c r="C276" s="1594">
        <v>264</v>
      </c>
      <c r="D276" s="1665">
        <v>2719365.4824631587</v>
      </c>
    </row>
    <row r="277" spans="1:4" ht="16">
      <c r="A277" s="1632">
        <f t="shared" ca="1" si="8"/>
        <v>0.12896702013886485</v>
      </c>
      <c r="B277" s="1632">
        <f t="shared" ca="1" si="9"/>
        <v>0.94841451588519954</v>
      </c>
      <c r="C277" s="1594">
        <v>265</v>
      </c>
      <c r="D277" s="1665">
        <v>2719365.4824631587</v>
      </c>
    </row>
    <row r="278" spans="1:4" ht="16">
      <c r="A278" s="1632">
        <f t="shared" ca="1" si="8"/>
        <v>0.489086306602872</v>
      </c>
      <c r="B278" s="1632">
        <f t="shared" ca="1" si="9"/>
        <v>1.2225337978306676</v>
      </c>
      <c r="C278" s="1594">
        <v>266</v>
      </c>
      <c r="D278" s="1665">
        <v>2719365.4824631587</v>
      </c>
    </row>
    <row r="279" spans="1:4" ht="16">
      <c r="A279" s="1632">
        <f t="shared" ca="1" si="8"/>
        <v>0.79382652842161228</v>
      </c>
      <c r="B279" s="1632">
        <f t="shared" ca="1" si="9"/>
        <v>1.5425922303478088</v>
      </c>
      <c r="C279" s="1594">
        <v>267</v>
      </c>
      <c r="D279" s="1665">
        <v>2719365.4824631587</v>
      </c>
    </row>
    <row r="280" spans="1:4" ht="16">
      <c r="A280" s="1632">
        <f t="shared" ca="1" si="8"/>
        <v>0.8629855571213696</v>
      </c>
      <c r="B280" s="1632">
        <f t="shared" ca="1" si="9"/>
        <v>1.6455984535478605</v>
      </c>
      <c r="C280" s="1594">
        <v>268</v>
      </c>
      <c r="D280" s="1665">
        <v>2719365.4824631587</v>
      </c>
    </row>
    <row r="281" spans="1:4" ht="16">
      <c r="A281" s="1632">
        <f t="shared" ca="1" si="8"/>
        <v>0.57398318939520132</v>
      </c>
      <c r="B281" s="1632">
        <f t="shared" ca="1" si="9"/>
        <v>1.2987463987092278</v>
      </c>
      <c r="C281" s="1594">
        <v>269</v>
      </c>
      <c r="D281" s="1665">
        <v>2719365.4824631587</v>
      </c>
    </row>
    <row r="282" spans="1:4" ht="16">
      <c r="A282" s="1632">
        <f t="shared" ca="1" si="8"/>
        <v>0.98953121489019802</v>
      </c>
      <c r="B282" s="1632">
        <f t="shared" ca="1" si="9"/>
        <v>1.9743956244373964</v>
      </c>
      <c r="C282" s="1594">
        <v>270</v>
      </c>
      <c r="D282" s="1665">
        <v>2719365.4824631587</v>
      </c>
    </row>
    <row r="283" spans="1:4" ht="16">
      <c r="A283" s="1632">
        <f t="shared" ca="1" si="8"/>
        <v>0.73650527082525197</v>
      </c>
      <c r="B283" s="1632">
        <f t="shared" ca="1" si="9"/>
        <v>1.4698519563893377</v>
      </c>
      <c r="C283" s="1594">
        <v>271</v>
      </c>
      <c r="D283" s="1665">
        <v>2719365.4824631587</v>
      </c>
    </row>
    <row r="284" spans="1:4" ht="16">
      <c r="A284" s="1632">
        <f t="shared" ca="1" si="8"/>
        <v>0.63837690895667465</v>
      </c>
      <c r="B284" s="1632">
        <f t="shared" ca="1" si="9"/>
        <v>1.3617818762707792</v>
      </c>
      <c r="C284" s="1594">
        <v>272</v>
      </c>
      <c r="D284" s="1665">
        <v>2719365.4824631587</v>
      </c>
    </row>
    <row r="285" spans="1:4" ht="16">
      <c r="A285" s="1632">
        <f t="shared" ca="1" si="8"/>
        <v>0.64333260509382528</v>
      </c>
      <c r="B285" s="1632">
        <f t="shared" ca="1" si="9"/>
        <v>1.3668576099258716</v>
      </c>
      <c r="C285" s="1594">
        <v>273</v>
      </c>
      <c r="D285" s="1665">
        <v>2719365.4824631587</v>
      </c>
    </row>
    <row r="286" spans="1:4" ht="16">
      <c r="A286" s="1632">
        <f t="shared" ca="1" si="8"/>
        <v>0.79791884898542997</v>
      </c>
      <c r="B286" s="1632">
        <f t="shared" ca="1" si="9"/>
        <v>1.5481519279919906</v>
      </c>
      <c r="C286" s="1594">
        <v>274</v>
      </c>
      <c r="D286" s="1665">
        <v>2719365.4824631587</v>
      </c>
    </row>
    <row r="287" spans="1:4" ht="16">
      <c r="A287" s="1632">
        <f t="shared" ca="1" si="8"/>
        <v>0.6867720047151854</v>
      </c>
      <c r="B287" s="1632">
        <f t="shared" ca="1" si="9"/>
        <v>1.4129522659274572</v>
      </c>
      <c r="C287" s="1594">
        <v>275</v>
      </c>
      <c r="D287" s="1665">
        <v>2719365.4824631587</v>
      </c>
    </row>
    <row r="288" spans="1:4" ht="16">
      <c r="A288" s="1632">
        <f t="shared" ca="1" si="8"/>
        <v>0.22497496264577521</v>
      </c>
      <c r="B288" s="1632">
        <f t="shared" ca="1" si="9"/>
        <v>1.019276755458264</v>
      </c>
      <c r="C288" s="1594">
        <v>276</v>
      </c>
      <c r="D288" s="1665">
        <v>2719365.4824631587</v>
      </c>
    </row>
    <row r="289" spans="1:4" ht="16">
      <c r="A289" s="1632">
        <f t="shared" ca="1" si="8"/>
        <v>1.1313259402680353E-2</v>
      </c>
      <c r="B289" s="1632">
        <f t="shared" ca="1" si="9"/>
        <v>0.7946898342326788</v>
      </c>
      <c r="C289" s="1594">
        <v>277</v>
      </c>
      <c r="D289" s="1665">
        <v>2719365.4824631587</v>
      </c>
    </row>
    <row r="290" spans="1:4" ht="16">
      <c r="A290" s="1632">
        <f t="shared" ca="1" si="8"/>
        <v>0.36426764111681098</v>
      </c>
      <c r="B290" s="1632">
        <f t="shared" ca="1" si="9"/>
        <v>1.1212003959762928</v>
      </c>
      <c r="C290" s="1594">
        <v>278</v>
      </c>
      <c r="D290" s="1665">
        <v>2719365.4824631587</v>
      </c>
    </row>
    <row r="291" spans="1:4" ht="16">
      <c r="A291" s="1632">
        <f t="shared" ca="1" si="8"/>
        <v>0.81258072519088498</v>
      </c>
      <c r="B291" s="1632">
        <f t="shared" ca="1" si="9"/>
        <v>1.5685483586088607</v>
      </c>
      <c r="C291" s="1594">
        <v>279</v>
      </c>
      <c r="D291" s="1665">
        <v>2719365.4824631587</v>
      </c>
    </row>
    <row r="292" spans="1:4" ht="16">
      <c r="A292" s="1632">
        <f t="shared" ca="1" si="8"/>
        <v>1.2865789402981331E-2</v>
      </c>
      <c r="B292" s="1632">
        <f t="shared" ca="1" si="9"/>
        <v>0.79898590798244806</v>
      </c>
      <c r="C292" s="1594">
        <v>280</v>
      </c>
      <c r="D292" s="1665">
        <v>2719365.4824631587</v>
      </c>
    </row>
    <row r="293" spans="1:4" ht="16">
      <c r="A293" s="1632">
        <f t="shared" ca="1" si="8"/>
        <v>0.4194178734019316</v>
      </c>
      <c r="B293" s="1632">
        <f t="shared" ca="1" si="9"/>
        <v>1.1646191872914597</v>
      </c>
      <c r="C293" s="1594">
        <v>281</v>
      </c>
      <c r="D293" s="1665">
        <v>2719365.4824631587</v>
      </c>
    </row>
    <row r="294" spans="1:4" ht="16">
      <c r="A294" s="1632">
        <f t="shared" ca="1" si="8"/>
        <v>0.15483715071943072</v>
      </c>
      <c r="B294" s="1632">
        <f t="shared" ca="1" si="9"/>
        <v>0.96932041712130923</v>
      </c>
      <c r="C294" s="1594">
        <v>282</v>
      </c>
      <c r="D294" s="1665">
        <v>2719365.4824631587</v>
      </c>
    </row>
    <row r="295" spans="1:4" ht="16">
      <c r="A295" s="1632">
        <f t="shared" ca="1" si="8"/>
        <v>0.38467253004493895</v>
      </c>
      <c r="B295" s="1632">
        <f t="shared" ca="1" si="9"/>
        <v>1.1370366064993556</v>
      </c>
      <c r="C295" s="1594">
        <v>283</v>
      </c>
      <c r="D295" s="1665">
        <v>2719365.4824631587</v>
      </c>
    </row>
    <row r="296" spans="1:4" ht="16">
      <c r="A296" s="1632">
        <f t="shared" ca="1" si="8"/>
        <v>0.76724708799226127</v>
      </c>
      <c r="B296" s="1632">
        <f t="shared" ca="1" si="9"/>
        <v>1.5077512022843251</v>
      </c>
      <c r="C296" s="1594">
        <v>284</v>
      </c>
      <c r="D296" s="1665">
        <v>2719365.4824631587</v>
      </c>
    </row>
    <row r="297" spans="1:4" ht="16">
      <c r="A297" s="1632">
        <f t="shared" ca="1" si="8"/>
        <v>0.10969020189464018</v>
      </c>
      <c r="B297" s="1632">
        <f t="shared" ca="1" si="9"/>
        <v>0.93143089554690317</v>
      </c>
      <c r="C297" s="1594">
        <v>285</v>
      </c>
      <c r="D297" s="1665">
        <v>2719365.4824631587</v>
      </c>
    </row>
    <row r="298" spans="1:4" ht="16">
      <c r="A298" s="1632">
        <f t="shared" ca="1" si="8"/>
        <v>0.4940998815336034</v>
      </c>
      <c r="B298" s="1632">
        <f t="shared" ca="1" si="9"/>
        <v>1.2268496815960841</v>
      </c>
      <c r="C298" s="1594">
        <v>286</v>
      </c>
      <c r="D298" s="1665">
        <v>2719365.4824631587</v>
      </c>
    </row>
    <row r="299" spans="1:4" ht="16">
      <c r="A299" s="1632">
        <f t="shared" ca="1" si="8"/>
        <v>0.86832173967918569</v>
      </c>
      <c r="B299" s="1632">
        <f t="shared" ca="1" si="9"/>
        <v>1.6545349190975043</v>
      </c>
      <c r="C299" s="1594">
        <v>287</v>
      </c>
      <c r="D299" s="1665">
        <v>2719365.4824631587</v>
      </c>
    </row>
    <row r="300" spans="1:4" ht="16">
      <c r="A300" s="1632">
        <f t="shared" ca="1" si="8"/>
        <v>0.48404716347071219</v>
      </c>
      <c r="B300" s="1632">
        <f t="shared" ca="1" si="9"/>
        <v>1.2182171896381533</v>
      </c>
      <c r="C300" s="1594">
        <v>288</v>
      </c>
      <c r="D300" s="1665">
        <v>2719365.4824631587</v>
      </c>
    </row>
    <row r="301" spans="1:4" ht="16">
      <c r="A301" s="1632">
        <f t="shared" ca="1" si="8"/>
        <v>0.82081103693206958</v>
      </c>
      <c r="B301" s="1632">
        <f t="shared" ca="1" si="9"/>
        <v>1.5803484173570035</v>
      </c>
      <c r="C301" s="1594">
        <v>289</v>
      </c>
      <c r="D301" s="1665">
        <v>2719365.4824631587</v>
      </c>
    </row>
    <row r="302" spans="1:4" ht="16">
      <c r="A302" s="1632">
        <f t="shared" ca="1" si="8"/>
        <v>0.1953520888330047</v>
      </c>
      <c r="B302" s="1632">
        <f t="shared" ca="1" si="9"/>
        <v>0.99881357417237782</v>
      </c>
      <c r="C302" s="1594">
        <v>290</v>
      </c>
      <c r="D302" s="1665">
        <v>2719365.4824631587</v>
      </c>
    </row>
    <row r="303" spans="1:4" ht="16">
      <c r="A303" s="1632">
        <f t="shared" ca="1" si="8"/>
        <v>0.64920502909427913</v>
      </c>
      <c r="B303" s="1632">
        <f t="shared" ca="1" si="9"/>
        <v>1.3729181468672724</v>
      </c>
      <c r="C303" s="1594">
        <v>291</v>
      </c>
      <c r="D303" s="1665">
        <v>2719365.4824631587</v>
      </c>
    </row>
    <row r="304" spans="1:4" ht="16">
      <c r="A304" s="1632">
        <f t="shared" ca="1" si="8"/>
        <v>0.20479143897588392</v>
      </c>
      <c r="B304" s="1632">
        <f t="shared" ca="1" si="9"/>
        <v>1.0052948792193657</v>
      </c>
      <c r="C304" s="1594">
        <v>292</v>
      </c>
      <c r="D304" s="1665">
        <v>2719365.4824631587</v>
      </c>
    </row>
    <row r="305" spans="1:4" ht="16">
      <c r="A305" s="1632">
        <f t="shared" ca="1" si="8"/>
        <v>0.90934952464981866</v>
      </c>
      <c r="B305" s="1632">
        <f t="shared" ca="1" si="9"/>
        <v>1.73039173933376</v>
      </c>
      <c r="C305" s="1594">
        <v>293</v>
      </c>
      <c r="D305" s="1665">
        <v>2719365.4824631587</v>
      </c>
    </row>
    <row r="306" spans="1:4" ht="16">
      <c r="A306" s="1632">
        <f t="shared" ca="1" si="8"/>
        <v>0.61318340161384444</v>
      </c>
      <c r="B306" s="1632">
        <f t="shared" ca="1" si="9"/>
        <v>1.3364997617761103</v>
      </c>
      <c r="C306" s="1594">
        <v>294</v>
      </c>
      <c r="D306" s="1665">
        <v>2719365.4824631587</v>
      </c>
    </row>
    <row r="307" spans="1:4" ht="16">
      <c r="A307" s="1632">
        <f t="shared" ca="1" si="8"/>
        <v>0.26266775901828965</v>
      </c>
      <c r="B307" s="1632">
        <f t="shared" ca="1" si="9"/>
        <v>1.0458844052195047</v>
      </c>
      <c r="C307" s="1594">
        <v>295</v>
      </c>
      <c r="D307" s="1665">
        <v>2719365.4824631587</v>
      </c>
    </row>
    <row r="308" spans="1:4" ht="16">
      <c r="A308" s="1632">
        <f t="shared" ca="1" si="8"/>
        <v>0.81127060316657651</v>
      </c>
      <c r="B308" s="1632">
        <f t="shared" ca="1" si="9"/>
        <v>1.5666940830742928</v>
      </c>
      <c r="C308" s="1594">
        <v>296</v>
      </c>
      <c r="D308" s="1665">
        <v>2719365.4824631587</v>
      </c>
    </row>
    <row r="309" spans="1:4" ht="16">
      <c r="A309" s="1632">
        <f t="shared" ca="1" si="8"/>
        <v>0.70826780932255307</v>
      </c>
      <c r="B309" s="1632">
        <f t="shared" ca="1" si="9"/>
        <v>1.4369461474729879</v>
      </c>
      <c r="C309" s="1594">
        <v>297</v>
      </c>
      <c r="D309" s="1665">
        <v>2719365.4824631587</v>
      </c>
    </row>
    <row r="310" spans="1:4" ht="16">
      <c r="A310" s="1632">
        <f t="shared" ca="1" si="8"/>
        <v>0.89602902128667705</v>
      </c>
      <c r="B310" s="1632">
        <f t="shared" ca="1" si="9"/>
        <v>1.7041663671174749</v>
      </c>
      <c r="C310" s="1594">
        <v>298</v>
      </c>
      <c r="D310" s="1665">
        <v>2719365.4824631587</v>
      </c>
    </row>
    <row r="311" spans="1:4" ht="16">
      <c r="A311" s="1632">
        <f t="shared" ca="1" si="8"/>
        <v>0.92580171753844442</v>
      </c>
      <c r="B311" s="1632">
        <f t="shared" ca="1" si="9"/>
        <v>1.765609791307275</v>
      </c>
      <c r="C311" s="1594">
        <v>299</v>
      </c>
      <c r="D311" s="1665">
        <v>2719365.4824631587</v>
      </c>
    </row>
    <row r="312" spans="1:4" ht="16">
      <c r="A312" s="1632">
        <f t="shared" ca="1" si="8"/>
        <v>0.8785651631094803</v>
      </c>
      <c r="B312" s="1632">
        <f t="shared" ca="1" si="9"/>
        <v>1.672212319959991</v>
      </c>
      <c r="C312" s="1594">
        <v>300</v>
      </c>
      <c r="D312" s="1665">
        <v>2719365.4824631587</v>
      </c>
    </row>
    <row r="313" spans="1:4" ht="16">
      <c r="A313" s="1632">
        <f t="shared" ca="1" si="8"/>
        <v>0.37771693394170636</v>
      </c>
      <c r="B313" s="1632">
        <f t="shared" ca="1" si="9"/>
        <v>1.1316092831145848</v>
      </c>
      <c r="C313" s="1594">
        <v>301</v>
      </c>
      <c r="D313" s="1665">
        <v>2719365.4824631587</v>
      </c>
    </row>
    <row r="314" spans="1:4" ht="16">
      <c r="A314" s="1632">
        <f t="shared" ca="1" si="8"/>
        <v>0.12695976092620842</v>
      </c>
      <c r="B314" s="1632">
        <f t="shared" ca="1" si="9"/>
        <v>0.94670813451876812</v>
      </c>
      <c r="C314" s="1594">
        <v>302</v>
      </c>
      <c r="D314" s="1665">
        <v>2719365.4824631587</v>
      </c>
    </row>
    <row r="315" spans="1:4" ht="16">
      <c r="A315" s="1632">
        <f t="shared" ca="1" si="8"/>
        <v>0.76925368533369132</v>
      </c>
      <c r="B315" s="1632">
        <f t="shared" ca="1" si="9"/>
        <v>1.5103096607522493</v>
      </c>
      <c r="C315" s="1594">
        <v>303</v>
      </c>
      <c r="D315" s="1665">
        <v>2719365.4824631587</v>
      </c>
    </row>
    <row r="316" spans="1:4" ht="16">
      <c r="A316" s="1632">
        <f t="shared" ca="1" si="8"/>
        <v>0.8298315302239283</v>
      </c>
      <c r="B316" s="1632">
        <f t="shared" ca="1" si="9"/>
        <v>1.5935971130092761</v>
      </c>
      <c r="C316" s="1594">
        <v>304</v>
      </c>
      <c r="D316" s="1665">
        <v>2719365.4824631587</v>
      </c>
    </row>
    <row r="317" spans="1:4" ht="16">
      <c r="A317" s="1632">
        <f t="shared" ca="1" si="8"/>
        <v>0.48090097695922407</v>
      </c>
      <c r="B317" s="1632">
        <f t="shared" ca="1" si="9"/>
        <v>1.2155328000867138</v>
      </c>
      <c r="C317" s="1594">
        <v>305</v>
      </c>
      <c r="D317" s="1665">
        <v>2719365.4824631587</v>
      </c>
    </row>
    <row r="318" spans="1:4" ht="16">
      <c r="A318" s="1632">
        <f t="shared" ca="1" si="8"/>
        <v>0.44071972324234432</v>
      </c>
      <c r="B318" s="1632">
        <f t="shared" ca="1" si="9"/>
        <v>1.1819393391099982</v>
      </c>
      <c r="C318" s="1594">
        <v>306</v>
      </c>
      <c r="D318" s="1665">
        <v>2719365.4824631587</v>
      </c>
    </row>
    <row r="319" spans="1:4" ht="16">
      <c r="A319" s="1632">
        <f t="shared" ca="1" si="8"/>
        <v>0.70594024023246849</v>
      </c>
      <c r="B319" s="1632">
        <f t="shared" ca="1" si="9"/>
        <v>1.4343063332360222</v>
      </c>
      <c r="C319" s="1594">
        <v>307</v>
      </c>
      <c r="D319" s="1665">
        <v>2719365.4824631587</v>
      </c>
    </row>
    <row r="320" spans="1:4" ht="16">
      <c r="A320" s="1632">
        <f t="shared" ca="1" si="8"/>
        <v>0.71979930507738421</v>
      </c>
      <c r="B320" s="1632">
        <f t="shared" ca="1" si="9"/>
        <v>1.4501827585787046</v>
      </c>
      <c r="C320" s="1594">
        <v>308</v>
      </c>
      <c r="D320" s="1665">
        <v>2719365.4824631587</v>
      </c>
    </row>
    <row r="321" spans="1:4" ht="16">
      <c r="A321" s="1632">
        <f t="shared" ca="1" si="8"/>
        <v>0.5057472231064839</v>
      </c>
      <c r="B321" s="1632">
        <f t="shared" ca="1" si="9"/>
        <v>1.2369594825394761</v>
      </c>
      <c r="C321" s="1594">
        <v>309</v>
      </c>
      <c r="D321" s="1665">
        <v>2719365.4824631587</v>
      </c>
    </row>
    <row r="322" spans="1:4" ht="16">
      <c r="A322" s="1632">
        <f t="shared" ca="1" si="8"/>
        <v>0.90982267257108962</v>
      </c>
      <c r="B322" s="1632">
        <f t="shared" ca="1" si="9"/>
        <v>1.7313575818827032</v>
      </c>
      <c r="C322" s="1594">
        <v>310</v>
      </c>
      <c r="D322" s="1665">
        <v>2719365.4824631587</v>
      </c>
    </row>
    <row r="323" spans="1:4" ht="16">
      <c r="A323" s="1632">
        <f t="shared" ca="1" si="8"/>
        <v>0.69452910973153048</v>
      </c>
      <c r="B323" s="1632">
        <f t="shared" ca="1" si="9"/>
        <v>1.4215129834443525</v>
      </c>
      <c r="C323" s="1594">
        <v>311</v>
      </c>
      <c r="D323" s="1665">
        <v>2719365.4824631587</v>
      </c>
    </row>
    <row r="324" spans="1:4" ht="16">
      <c r="A324" s="1632">
        <f t="shared" ca="1" si="8"/>
        <v>0.59120866085213752</v>
      </c>
      <c r="B324" s="1632">
        <f t="shared" ca="1" si="9"/>
        <v>1.3151123977945449</v>
      </c>
      <c r="C324" s="1594">
        <v>312</v>
      </c>
      <c r="D324" s="1665">
        <v>2719365.4824631587</v>
      </c>
    </row>
    <row r="325" spans="1:4" ht="16">
      <c r="A325" s="1632">
        <f t="shared" ca="1" si="8"/>
        <v>2.4260518005218779E-2</v>
      </c>
      <c r="B325" s="1632">
        <f t="shared" ca="1" si="9"/>
        <v>0.82473101714924435</v>
      </c>
      <c r="C325" s="1594">
        <v>313</v>
      </c>
      <c r="D325" s="1665">
        <v>2719365.4824631587</v>
      </c>
    </row>
    <row r="326" spans="1:4" ht="16">
      <c r="A326" s="1632">
        <f t="shared" ca="1" si="8"/>
        <v>0.84557864736011634</v>
      </c>
      <c r="B326" s="1632">
        <f t="shared" ca="1" si="9"/>
        <v>1.6175966641613009</v>
      </c>
      <c r="C326" s="1594">
        <v>314</v>
      </c>
      <c r="D326" s="1665">
        <v>2719365.4824631587</v>
      </c>
    </row>
    <row r="327" spans="1:4" ht="16">
      <c r="A327" s="1632">
        <f t="shared" ca="1" si="8"/>
        <v>0.54077194438090881</v>
      </c>
      <c r="B327" s="1632">
        <f t="shared" ca="1" si="9"/>
        <v>1.2681005590710073</v>
      </c>
      <c r="C327" s="1594">
        <v>315</v>
      </c>
      <c r="D327" s="1665">
        <v>2719365.4824631587</v>
      </c>
    </row>
    <row r="328" spans="1:4" ht="16">
      <c r="A328" s="1632">
        <f t="shared" ca="1" si="8"/>
        <v>0.64921912229128265</v>
      </c>
      <c r="B328" s="1632">
        <f t="shared" ca="1" si="9"/>
        <v>1.3729327522800681</v>
      </c>
      <c r="C328" s="1594">
        <v>316</v>
      </c>
      <c r="D328" s="1665">
        <v>2719365.4824631587</v>
      </c>
    </row>
    <row r="329" spans="1:4" ht="16">
      <c r="A329" s="1632">
        <f t="shared" ca="1" si="8"/>
        <v>0.52042144731739981</v>
      </c>
      <c r="B329" s="1632">
        <f t="shared" ca="1" si="9"/>
        <v>1.2498677285900279</v>
      </c>
      <c r="C329" s="1594">
        <v>317</v>
      </c>
      <c r="D329" s="1665">
        <v>2719365.4824631587</v>
      </c>
    </row>
    <row r="330" spans="1:4" ht="16">
      <c r="A330" s="1632">
        <f t="shared" ca="1" si="8"/>
        <v>0.96947180654927168</v>
      </c>
      <c r="B330" s="1632">
        <f t="shared" ca="1" si="9"/>
        <v>1.8855099360570575</v>
      </c>
      <c r="C330" s="1594">
        <v>318</v>
      </c>
      <c r="D330" s="1665">
        <v>2719365.4824631587</v>
      </c>
    </row>
    <row r="331" spans="1:4" ht="16">
      <c r="A331" s="1632">
        <f t="shared" ca="1" si="8"/>
        <v>0.62852925333659093</v>
      </c>
      <c r="B331" s="1632">
        <f t="shared" ca="1" si="9"/>
        <v>1.351797878095927</v>
      </c>
      <c r="C331" s="1594">
        <v>319</v>
      </c>
      <c r="D331" s="1665">
        <v>2719365.4824631587</v>
      </c>
    </row>
    <row r="332" spans="1:4" ht="16">
      <c r="A332" s="1632">
        <f t="shared" ca="1" si="8"/>
        <v>0.16557052255392013</v>
      </c>
      <c r="B332" s="1632">
        <f t="shared" ca="1" si="9"/>
        <v>0.97747633481344243</v>
      </c>
      <c r="C332" s="1594">
        <v>320</v>
      </c>
      <c r="D332" s="1665">
        <v>2719365.4824631587</v>
      </c>
    </row>
    <row r="333" spans="1:4" ht="16">
      <c r="A333" s="1632">
        <f t="shared" ref="A333:A396" ca="1" si="10">RAND()</f>
        <v>0.48749234149511311</v>
      </c>
      <c r="B333" s="1632">
        <f t="shared" ref="B333:B396" ca="1" si="11">IF(A333&lt;=(B$5-B$4)/(B$6-B$4),$B$4+SQRT(A333*(B$6-B$4)*(B$5-B$4)),B$6-SQRT((1-A333)*(B$6-B$4)*(-B$5+B$6)))</f>
        <v>1.2211660899994445</v>
      </c>
      <c r="C333" s="1594">
        <v>321</v>
      </c>
      <c r="D333" s="1665">
        <v>2719365.4824631587</v>
      </c>
    </row>
    <row r="334" spans="1:4" ht="16">
      <c r="A334" s="1632">
        <f t="shared" ca="1" si="10"/>
        <v>0.55815206568509468</v>
      </c>
      <c r="B334" s="1632">
        <f t="shared" ca="1" si="11"/>
        <v>1.2839945851818371</v>
      </c>
      <c r="C334" s="1594">
        <v>322</v>
      </c>
      <c r="D334" s="1665">
        <v>2719365.4824631587</v>
      </c>
    </row>
    <row r="335" spans="1:4" ht="16">
      <c r="A335" s="1632">
        <f t="shared" ca="1" si="10"/>
        <v>0.86243714152670459</v>
      </c>
      <c r="B335" s="1632">
        <f t="shared" ca="1" si="11"/>
        <v>1.6446899652772233</v>
      </c>
      <c r="C335" s="1594">
        <v>323</v>
      </c>
      <c r="D335" s="1665">
        <v>2719365.4824631587</v>
      </c>
    </row>
    <row r="336" spans="1:4" ht="16">
      <c r="A336" s="1632">
        <f t="shared" ca="1" si="10"/>
        <v>0.33727078403742727</v>
      </c>
      <c r="B336" s="1632">
        <f t="shared" ca="1" si="11"/>
        <v>1.1006337365832299</v>
      </c>
      <c r="C336" s="1594">
        <v>324</v>
      </c>
      <c r="D336" s="1665">
        <v>2719365.4824631587</v>
      </c>
    </row>
    <row r="337" spans="1:4" ht="16">
      <c r="A337" s="1632">
        <f t="shared" ca="1" si="10"/>
        <v>0.1122967999754878</v>
      </c>
      <c r="B337" s="1632">
        <f t="shared" ca="1" si="11"/>
        <v>0.9338101722459724</v>
      </c>
      <c r="C337" s="1594">
        <v>325</v>
      </c>
      <c r="D337" s="1665">
        <v>2719365.4824631587</v>
      </c>
    </row>
    <row r="338" spans="1:4" ht="16">
      <c r="A338" s="1632">
        <f t="shared" ca="1" si="10"/>
        <v>0.34602419481206659</v>
      </c>
      <c r="B338" s="1632">
        <f t="shared" ca="1" si="11"/>
        <v>1.1072555523105578</v>
      </c>
      <c r="C338" s="1594">
        <v>326</v>
      </c>
      <c r="D338" s="1665">
        <v>2719365.4824631587</v>
      </c>
    </row>
    <row r="339" spans="1:4" ht="16">
      <c r="A339" s="1632">
        <f t="shared" ca="1" si="10"/>
        <v>9.7109412788887184E-2</v>
      </c>
      <c r="B339" s="1632">
        <f t="shared" ca="1" si="11"/>
        <v>0.91952775994721558</v>
      </c>
      <c r="C339" s="1594">
        <v>327</v>
      </c>
      <c r="D339" s="1665">
        <v>2719365.4824631587</v>
      </c>
    </row>
    <row r="340" spans="1:4" ht="16">
      <c r="A340" s="1632">
        <f t="shared" ca="1" si="10"/>
        <v>0.9211740208126169</v>
      </c>
      <c r="B340" s="1632">
        <f t="shared" ca="1" si="11"/>
        <v>1.7553396590331485</v>
      </c>
      <c r="C340" s="1594">
        <v>328</v>
      </c>
      <c r="D340" s="1665">
        <v>2719365.4824631587</v>
      </c>
    </row>
    <row r="341" spans="1:4" ht="16">
      <c r="A341" s="1632">
        <f t="shared" ca="1" si="10"/>
        <v>0.86749641782223141</v>
      </c>
      <c r="B341" s="1632">
        <f t="shared" ca="1" si="11"/>
        <v>1.653141075570939</v>
      </c>
      <c r="C341" s="1594">
        <v>329</v>
      </c>
      <c r="D341" s="1665">
        <v>2719365.4824631587</v>
      </c>
    </row>
    <row r="342" spans="1:4" ht="16">
      <c r="A342" s="1632">
        <f t="shared" ca="1" si="10"/>
        <v>0.84701250399515038</v>
      </c>
      <c r="B342" s="1632">
        <f t="shared" ca="1" si="11"/>
        <v>1.6198415298265496</v>
      </c>
      <c r="C342" s="1594">
        <v>330</v>
      </c>
      <c r="D342" s="1665">
        <v>2719365.4824631587</v>
      </c>
    </row>
    <row r="343" spans="1:4" ht="16">
      <c r="A343" s="1632">
        <f t="shared" ca="1" si="10"/>
        <v>0.92813389486349618</v>
      </c>
      <c r="B343" s="1632">
        <f t="shared" ca="1" si="11"/>
        <v>1.7709069729685674</v>
      </c>
      <c r="C343" s="1594">
        <v>331</v>
      </c>
      <c r="D343" s="1665">
        <v>2719365.4824631587</v>
      </c>
    </row>
    <row r="344" spans="1:4" ht="16">
      <c r="A344" s="1632">
        <f t="shared" ca="1" si="10"/>
        <v>0.12334786458875624</v>
      </c>
      <c r="B344" s="1632">
        <f t="shared" ca="1" si="11"/>
        <v>0.94360331250095575</v>
      </c>
      <c r="C344" s="1594">
        <v>332</v>
      </c>
      <c r="D344" s="1665">
        <v>2719365.4824631587</v>
      </c>
    </row>
    <row r="345" spans="1:4" ht="16">
      <c r="A345" s="1632">
        <f t="shared" ca="1" si="10"/>
        <v>0.8071247221514023</v>
      </c>
      <c r="B345" s="1632">
        <f t="shared" ca="1" si="11"/>
        <v>1.5608682501300479</v>
      </c>
      <c r="C345" s="1594">
        <v>333</v>
      </c>
      <c r="D345" s="1665">
        <v>2719365.4824631587</v>
      </c>
    </row>
    <row r="346" spans="1:4" ht="16">
      <c r="A346" s="1632">
        <f t="shared" ca="1" si="10"/>
        <v>0.87362790276064872</v>
      </c>
      <c r="B346" s="1632">
        <f t="shared" ca="1" si="11"/>
        <v>1.6636025314696448</v>
      </c>
      <c r="C346" s="1594">
        <v>334</v>
      </c>
      <c r="D346" s="1665">
        <v>2719365.4824631587</v>
      </c>
    </row>
    <row r="347" spans="1:4" ht="16">
      <c r="A347" s="1632">
        <f t="shared" ca="1" si="10"/>
        <v>0.83604035391556264</v>
      </c>
      <c r="B347" s="1632">
        <f t="shared" ca="1" si="11"/>
        <v>1.6029213476226856</v>
      </c>
      <c r="C347" s="1594">
        <v>335</v>
      </c>
      <c r="D347" s="1665">
        <v>2719365.4824631587</v>
      </c>
    </row>
    <row r="348" spans="1:4" ht="16">
      <c r="A348" s="1632">
        <f t="shared" ca="1" si="10"/>
        <v>0.90449139521575161</v>
      </c>
      <c r="B348" s="1632">
        <f t="shared" ca="1" si="11"/>
        <v>1.7206169911423783</v>
      </c>
      <c r="C348" s="1594">
        <v>336</v>
      </c>
      <c r="D348" s="1665">
        <v>2719365.4824631587</v>
      </c>
    </row>
    <row r="349" spans="1:4" ht="16">
      <c r="A349" s="1632">
        <f t="shared" ca="1" si="10"/>
        <v>0.57950540356498692</v>
      </c>
      <c r="B349" s="1632">
        <f t="shared" ca="1" si="11"/>
        <v>1.303956435345675</v>
      </c>
      <c r="C349" s="1594">
        <v>337</v>
      </c>
      <c r="D349" s="1665">
        <v>2719365.4824631587</v>
      </c>
    </row>
    <row r="350" spans="1:4" ht="16">
      <c r="A350" s="1632">
        <f t="shared" ca="1" si="10"/>
        <v>0.54878382893649202</v>
      </c>
      <c r="B350" s="1632">
        <f t="shared" ca="1" si="11"/>
        <v>1.2753893222903874</v>
      </c>
      <c r="C350" s="1594">
        <v>338</v>
      </c>
      <c r="D350" s="1665">
        <v>2719365.4824631587</v>
      </c>
    </row>
    <row r="351" spans="1:4" ht="16">
      <c r="A351" s="1632">
        <f t="shared" ca="1" si="10"/>
        <v>1.2727496630308477E-2</v>
      </c>
      <c r="B351" s="1632">
        <f t="shared" ca="1" si="11"/>
        <v>0.79861414579772239</v>
      </c>
      <c r="C351" s="1594">
        <v>339</v>
      </c>
      <c r="D351" s="1665">
        <v>2719365.4824631587</v>
      </c>
    </row>
    <row r="352" spans="1:4" ht="16">
      <c r="A352" s="1632">
        <f t="shared" ca="1" si="10"/>
        <v>0.13949867075487843</v>
      </c>
      <c r="B352" s="1632">
        <f t="shared" ca="1" si="11"/>
        <v>0.957157562744958</v>
      </c>
      <c r="C352" s="1594">
        <v>340</v>
      </c>
      <c r="D352" s="1665">
        <v>2719365.4824631587</v>
      </c>
    </row>
    <row r="353" spans="1:4" ht="16">
      <c r="A353" s="1632">
        <f t="shared" ca="1" si="10"/>
        <v>4.7159388128581115E-2</v>
      </c>
      <c r="B353" s="1632">
        <f t="shared" ca="1" si="11"/>
        <v>0.86207671130355323</v>
      </c>
      <c r="C353" s="1594">
        <v>341</v>
      </c>
      <c r="D353" s="1665">
        <v>2719365.4824631587</v>
      </c>
    </row>
    <row r="354" spans="1:4" ht="16">
      <c r="A354" s="1632">
        <f t="shared" ca="1" si="10"/>
        <v>0.43367482881789077</v>
      </c>
      <c r="B354" s="1632">
        <f t="shared" ca="1" si="11"/>
        <v>1.1761753234669261</v>
      </c>
      <c r="C354" s="1594">
        <v>342</v>
      </c>
      <c r="D354" s="1665">
        <v>2719365.4824631587</v>
      </c>
    </row>
    <row r="355" spans="1:4" ht="16">
      <c r="A355" s="1632">
        <f t="shared" ca="1" si="10"/>
        <v>0.42575647301165254</v>
      </c>
      <c r="B355" s="1632">
        <f t="shared" ca="1" si="11"/>
        <v>1.1697392864516747</v>
      </c>
      <c r="C355" s="1594">
        <v>343</v>
      </c>
      <c r="D355" s="1665">
        <v>2719365.4824631587</v>
      </c>
    </row>
    <row r="356" spans="1:4" ht="16">
      <c r="A356" s="1632">
        <f t="shared" ca="1" si="10"/>
        <v>0.67842177517550595</v>
      </c>
      <c r="B356" s="1632">
        <f t="shared" ca="1" si="11"/>
        <v>1.4038546237957816</v>
      </c>
      <c r="C356" s="1594">
        <v>344</v>
      </c>
      <c r="D356" s="1665">
        <v>2719365.4824631587</v>
      </c>
    </row>
    <row r="357" spans="1:4" ht="16">
      <c r="A357" s="1632">
        <f t="shared" ca="1" si="10"/>
        <v>0.27075960251346887</v>
      </c>
      <c r="B357" s="1632">
        <f t="shared" ca="1" si="11"/>
        <v>1.0516845517630666</v>
      </c>
      <c r="C357" s="1594">
        <v>345</v>
      </c>
      <c r="D357" s="1665">
        <v>2719365.4824631587</v>
      </c>
    </row>
    <row r="358" spans="1:4" ht="16">
      <c r="A358" s="1632">
        <f t="shared" ca="1" si="10"/>
        <v>0.70623795155799973</v>
      </c>
      <c r="B358" s="1632">
        <f t="shared" ca="1" si="11"/>
        <v>1.4346433986183842</v>
      </c>
      <c r="C358" s="1594">
        <v>346</v>
      </c>
      <c r="D358" s="1665">
        <v>2719365.4824631587</v>
      </c>
    </row>
    <row r="359" spans="1:4" ht="16">
      <c r="A359" s="1632">
        <f t="shared" ca="1" si="10"/>
        <v>0.74457073377013294</v>
      </c>
      <c r="B359" s="1632">
        <f t="shared" ca="1" si="11"/>
        <v>1.4795711932796725</v>
      </c>
      <c r="C359" s="1594">
        <v>347</v>
      </c>
      <c r="D359" s="1665">
        <v>2719365.4824631587</v>
      </c>
    </row>
    <row r="360" spans="1:4" ht="16">
      <c r="A360" s="1632">
        <f t="shared" ca="1" si="10"/>
        <v>0.20002825392465939</v>
      </c>
      <c r="B360" s="1632">
        <f t="shared" ca="1" si="11"/>
        <v>1.0020212108899653</v>
      </c>
      <c r="C360" s="1594">
        <v>348</v>
      </c>
      <c r="D360" s="1665">
        <v>2719365.4824631587</v>
      </c>
    </row>
    <row r="361" spans="1:4" ht="16">
      <c r="A361" s="1632">
        <f t="shared" ca="1" si="10"/>
        <v>0.38600386913841567</v>
      </c>
      <c r="B361" s="1632">
        <f t="shared" ca="1" si="11"/>
        <v>1.1380789173698251</v>
      </c>
      <c r="C361" s="1594">
        <v>349</v>
      </c>
      <c r="D361" s="1665">
        <v>2719365.4824631587</v>
      </c>
    </row>
    <row r="362" spans="1:4" ht="16">
      <c r="A362" s="1632">
        <f t="shared" ca="1" si="10"/>
        <v>0.9066215147261647</v>
      </c>
      <c r="B362" s="1632">
        <f t="shared" ca="1" si="11"/>
        <v>1.7248715189329531</v>
      </c>
      <c r="C362" s="1594">
        <v>350</v>
      </c>
      <c r="D362" s="1665">
        <v>2719365.4824631587</v>
      </c>
    </row>
    <row r="363" spans="1:4" ht="16">
      <c r="A363" s="1632">
        <f t="shared" ca="1" si="10"/>
        <v>0.5023480050414495</v>
      </c>
      <c r="B363" s="1632">
        <f t="shared" ca="1" si="11"/>
        <v>1.2339967919213373</v>
      </c>
      <c r="C363" s="1594">
        <v>351</v>
      </c>
      <c r="D363" s="1665">
        <v>2719365.4824631587</v>
      </c>
    </row>
    <row r="364" spans="1:4" ht="16">
      <c r="A364" s="1632">
        <f t="shared" ca="1" si="10"/>
        <v>0.79980892130251058</v>
      </c>
      <c r="B364" s="1632">
        <f t="shared" ca="1" si="11"/>
        <v>1.5507387182796184</v>
      </c>
      <c r="C364" s="1594">
        <v>352</v>
      </c>
      <c r="D364" s="1665">
        <v>2719365.4824631587</v>
      </c>
    </row>
    <row r="365" spans="1:4" ht="16">
      <c r="A365" s="1632">
        <f t="shared" ca="1" si="10"/>
        <v>0.1712919339626221</v>
      </c>
      <c r="B365" s="1632">
        <f t="shared" ca="1" si="11"/>
        <v>0.98171588422817879</v>
      </c>
      <c r="C365" s="1594">
        <v>353</v>
      </c>
      <c r="D365" s="1665">
        <v>2719365.4824631587</v>
      </c>
    </row>
    <row r="366" spans="1:4" ht="16">
      <c r="A366" s="1632">
        <f t="shared" ca="1" si="10"/>
        <v>0.17544213964266098</v>
      </c>
      <c r="B366" s="1632">
        <f t="shared" ca="1" si="11"/>
        <v>0.98474702638857292</v>
      </c>
      <c r="C366" s="1594">
        <v>354</v>
      </c>
      <c r="D366" s="1665">
        <v>2719365.4824631587</v>
      </c>
    </row>
    <row r="367" spans="1:4" ht="16">
      <c r="A367" s="1632">
        <f t="shared" ca="1" si="10"/>
        <v>0.68100840981793564</v>
      </c>
      <c r="B367" s="1632">
        <f t="shared" ca="1" si="11"/>
        <v>1.4066600210543381</v>
      </c>
      <c r="C367" s="1594">
        <v>355</v>
      </c>
      <c r="D367" s="1665">
        <v>2719365.4824631587</v>
      </c>
    </row>
    <row r="368" spans="1:4" ht="16">
      <c r="A368" s="1632">
        <f t="shared" ca="1" si="10"/>
        <v>0.59344758370823736</v>
      </c>
      <c r="B368" s="1632">
        <f t="shared" ca="1" si="11"/>
        <v>1.3172647373781565</v>
      </c>
      <c r="C368" s="1594">
        <v>356</v>
      </c>
      <c r="D368" s="1665">
        <v>2719365.4824631587</v>
      </c>
    </row>
    <row r="369" spans="1:4" ht="16">
      <c r="A369" s="1632">
        <f t="shared" ca="1" si="10"/>
        <v>0.90021360585547772</v>
      </c>
      <c r="B369" s="1632">
        <f t="shared" ca="1" si="11"/>
        <v>1.712213852779918</v>
      </c>
      <c r="C369" s="1594">
        <v>357</v>
      </c>
      <c r="D369" s="1665">
        <v>2719365.4824631587</v>
      </c>
    </row>
    <row r="370" spans="1:4" ht="16">
      <c r="A370" s="1632">
        <f t="shared" ca="1" si="10"/>
        <v>0.25747654189440883</v>
      </c>
      <c r="B370" s="1632">
        <f t="shared" ca="1" si="11"/>
        <v>1.0421801422902264</v>
      </c>
      <c r="C370" s="1594">
        <v>358</v>
      </c>
      <c r="D370" s="1665">
        <v>2719365.4824631587</v>
      </c>
    </row>
    <row r="371" spans="1:4" ht="16">
      <c r="A371" s="1632">
        <f t="shared" ca="1" si="10"/>
        <v>0.81350225662159503</v>
      </c>
      <c r="B371" s="1632">
        <f t="shared" ca="1" si="11"/>
        <v>1.5698565295401101</v>
      </c>
      <c r="C371" s="1594">
        <v>359</v>
      </c>
      <c r="D371" s="1665">
        <v>2719365.4824631587</v>
      </c>
    </row>
    <row r="372" spans="1:4" ht="16">
      <c r="A372" s="1632">
        <f t="shared" ca="1" si="10"/>
        <v>0.47958658513358954</v>
      </c>
      <c r="B372" s="1632">
        <f t="shared" ca="1" si="11"/>
        <v>1.2144137443457694</v>
      </c>
      <c r="C372" s="1594">
        <v>360</v>
      </c>
      <c r="D372" s="1665">
        <v>2719365.4824631587</v>
      </c>
    </row>
    <row r="373" spans="1:4" ht="16">
      <c r="A373" s="1632">
        <f t="shared" ca="1" si="10"/>
        <v>0.29080456471565885</v>
      </c>
      <c r="B373" s="1632">
        <f t="shared" ca="1" si="11"/>
        <v>1.0661927060745304</v>
      </c>
      <c r="C373" s="1594">
        <v>361</v>
      </c>
      <c r="D373" s="1665">
        <v>2719365.4824631587</v>
      </c>
    </row>
    <row r="374" spans="1:4" ht="16">
      <c r="A374" s="1632">
        <f t="shared" ca="1" si="10"/>
        <v>0.13587459448484207</v>
      </c>
      <c r="B374" s="1632">
        <f t="shared" ca="1" si="11"/>
        <v>0.95418744947017675</v>
      </c>
      <c r="C374" s="1594">
        <v>362</v>
      </c>
      <c r="D374" s="1665">
        <v>2719365.4824631587</v>
      </c>
    </row>
    <row r="375" spans="1:4" ht="16">
      <c r="A375" s="1632">
        <f t="shared" ca="1" si="10"/>
        <v>0.93250304305564413</v>
      </c>
      <c r="B375" s="1632">
        <f t="shared" ca="1" si="11"/>
        <v>1.7810675398847833</v>
      </c>
      <c r="C375" s="1594">
        <v>363</v>
      </c>
      <c r="D375" s="1665">
        <v>2719365.4824631587</v>
      </c>
    </row>
    <row r="376" spans="1:4" ht="16">
      <c r="A376" s="1632">
        <f t="shared" ca="1" si="10"/>
        <v>0.54780771684035612</v>
      </c>
      <c r="B376" s="1632">
        <f t="shared" ca="1" si="11"/>
        <v>1.2744978675245089</v>
      </c>
      <c r="C376" s="1594">
        <v>364</v>
      </c>
      <c r="D376" s="1665">
        <v>2719365.4824631587</v>
      </c>
    </row>
    <row r="377" spans="1:4" ht="16">
      <c r="A377" s="1632">
        <f t="shared" ca="1" si="10"/>
        <v>0.98090998344614322</v>
      </c>
      <c r="B377" s="1632">
        <f t="shared" ca="1" si="11"/>
        <v>1.9303867489060418</v>
      </c>
      <c r="C377" s="1594">
        <v>365</v>
      </c>
      <c r="D377" s="1665">
        <v>2719365.4824631587</v>
      </c>
    </row>
    <row r="378" spans="1:4" ht="16">
      <c r="A378" s="1632">
        <f t="shared" ca="1" si="10"/>
        <v>9.3479885658458772E-2</v>
      </c>
      <c r="B378" s="1632">
        <f t="shared" ca="1" si="11"/>
        <v>0.91595217047688338</v>
      </c>
      <c r="C378" s="1594">
        <v>366</v>
      </c>
      <c r="D378" s="1665">
        <v>2719365.4824631587</v>
      </c>
    </row>
    <row r="379" spans="1:4" ht="16">
      <c r="A379" s="1632">
        <f t="shared" ca="1" si="10"/>
        <v>0.50611680404982795</v>
      </c>
      <c r="B379" s="1632">
        <f t="shared" ca="1" si="11"/>
        <v>1.2372822151497576</v>
      </c>
      <c r="C379" s="1594">
        <v>367</v>
      </c>
      <c r="D379" s="1665">
        <v>2719365.4824631587</v>
      </c>
    </row>
    <row r="380" spans="1:4" ht="16">
      <c r="A380" s="1632">
        <f t="shared" ca="1" si="10"/>
        <v>0.30291751860439586</v>
      </c>
      <c r="B380" s="1632">
        <f t="shared" ca="1" si="11"/>
        <v>1.0750593678348119</v>
      </c>
      <c r="C380" s="1594">
        <v>368</v>
      </c>
      <c r="D380" s="1665">
        <v>2719365.4824631587</v>
      </c>
    </row>
    <row r="381" spans="1:4" ht="16">
      <c r="A381" s="1632">
        <f t="shared" ca="1" si="10"/>
        <v>0.88599608233026572</v>
      </c>
      <c r="B381" s="1632">
        <f t="shared" ca="1" si="11"/>
        <v>1.6855076551632231</v>
      </c>
      <c r="C381" s="1594">
        <v>369</v>
      </c>
      <c r="D381" s="1665">
        <v>2719365.4824631587</v>
      </c>
    </row>
    <row r="382" spans="1:4" ht="16">
      <c r="A382" s="1632">
        <f t="shared" ca="1" si="10"/>
        <v>0.86741381562870745</v>
      </c>
      <c r="B382" s="1632">
        <f t="shared" ca="1" si="11"/>
        <v>1.6530018122547498</v>
      </c>
      <c r="C382" s="1594">
        <v>370</v>
      </c>
      <c r="D382" s="1665">
        <v>2719365.4824631587</v>
      </c>
    </row>
    <row r="383" spans="1:4" ht="16">
      <c r="A383" s="1632">
        <f t="shared" ca="1" si="10"/>
        <v>0.88850605706895758</v>
      </c>
      <c r="B383" s="1632">
        <f t="shared" ca="1" si="11"/>
        <v>1.6900958990238315</v>
      </c>
      <c r="C383" s="1594">
        <v>371</v>
      </c>
      <c r="D383" s="1665">
        <v>2719365.4824631587</v>
      </c>
    </row>
    <row r="384" spans="1:4" ht="16">
      <c r="A384" s="1632">
        <f t="shared" ca="1" si="10"/>
        <v>0.29597685086811931</v>
      </c>
      <c r="B384" s="1632">
        <f t="shared" ca="1" si="11"/>
        <v>1.0699694733932668</v>
      </c>
      <c r="C384" s="1594">
        <v>372</v>
      </c>
      <c r="D384" s="1665">
        <v>2719365.4824631587</v>
      </c>
    </row>
    <row r="385" spans="1:4" ht="16">
      <c r="A385" s="1632">
        <f t="shared" ca="1" si="10"/>
        <v>0.48737107437552529</v>
      </c>
      <c r="B385" s="1632">
        <f t="shared" ca="1" si="11"/>
        <v>1.2210621234034322</v>
      </c>
      <c r="C385" s="1594">
        <v>373</v>
      </c>
      <c r="D385" s="1665">
        <v>2719365.4824631587</v>
      </c>
    </row>
    <row r="386" spans="1:4" ht="16">
      <c r="A386" s="1632">
        <f t="shared" ca="1" si="10"/>
        <v>0.23192825226788993</v>
      </c>
      <c r="B386" s="1632">
        <f t="shared" ca="1" si="11"/>
        <v>1.0241356387386513</v>
      </c>
      <c r="C386" s="1594">
        <v>374</v>
      </c>
      <c r="D386" s="1665">
        <v>2719365.4824631587</v>
      </c>
    </row>
    <row r="387" spans="1:4" ht="16">
      <c r="A387" s="1632">
        <f t="shared" ca="1" si="10"/>
        <v>0.18295648833302214</v>
      </c>
      <c r="B387" s="1632">
        <f t="shared" ca="1" si="11"/>
        <v>0.99014535366672396</v>
      </c>
      <c r="C387" s="1594">
        <v>375</v>
      </c>
      <c r="D387" s="1665">
        <v>2719365.4824631587</v>
      </c>
    </row>
    <row r="388" spans="1:4" ht="16">
      <c r="A388" s="1632">
        <f t="shared" ca="1" si="10"/>
        <v>6.2535653622234011E-2</v>
      </c>
      <c r="B388" s="1632">
        <f t="shared" ca="1" si="11"/>
        <v>0.8820918744537799</v>
      </c>
      <c r="C388" s="1594">
        <v>376</v>
      </c>
      <c r="D388" s="1665">
        <v>2719365.4824631587</v>
      </c>
    </row>
    <row r="389" spans="1:4" ht="16">
      <c r="A389" s="1632">
        <f t="shared" ca="1" si="10"/>
        <v>0.93304465240664847</v>
      </c>
      <c r="B389" s="1632">
        <f t="shared" ca="1" si="11"/>
        <v>1.7823497067163627</v>
      </c>
      <c r="C389" s="1594">
        <v>377</v>
      </c>
      <c r="D389" s="1665">
        <v>2719365.4824631587</v>
      </c>
    </row>
    <row r="390" spans="1:4" ht="16">
      <c r="A390" s="1632">
        <f t="shared" ca="1" si="10"/>
        <v>0.87480901392502741</v>
      </c>
      <c r="B390" s="1632">
        <f t="shared" ca="1" si="11"/>
        <v>1.6656466691563381</v>
      </c>
      <c r="C390" s="1594">
        <v>378</v>
      </c>
      <c r="D390" s="1665">
        <v>2719365.4824631587</v>
      </c>
    </row>
    <row r="391" spans="1:4" ht="16">
      <c r="A391" s="1632">
        <f t="shared" ca="1" si="10"/>
        <v>0.53679595947687408</v>
      </c>
      <c r="B391" s="1632">
        <f t="shared" ca="1" si="11"/>
        <v>1.2645070382891603</v>
      </c>
      <c r="C391" s="1594">
        <v>379</v>
      </c>
      <c r="D391" s="1665">
        <v>2719365.4824631587</v>
      </c>
    </row>
    <row r="392" spans="1:4" ht="16">
      <c r="A392" s="1632">
        <f t="shared" ca="1" si="10"/>
        <v>0.3900076774716118</v>
      </c>
      <c r="B392" s="1632">
        <f t="shared" ca="1" si="11"/>
        <v>1.1412203433268511</v>
      </c>
      <c r="C392" s="1594">
        <v>380</v>
      </c>
      <c r="D392" s="1665">
        <v>2719365.4824631587</v>
      </c>
    </row>
    <row r="393" spans="1:4" ht="16">
      <c r="A393" s="1632">
        <f t="shared" ca="1" si="10"/>
        <v>0.10646804721438985</v>
      </c>
      <c r="B393" s="1632">
        <f t="shared" ca="1" si="11"/>
        <v>0.92845032291382845</v>
      </c>
      <c r="C393" s="1594">
        <v>381</v>
      </c>
      <c r="D393" s="1665">
        <v>2719365.4824631587</v>
      </c>
    </row>
    <row r="394" spans="1:4" ht="16">
      <c r="A394" s="1632">
        <f t="shared" ca="1" si="10"/>
        <v>0.96862793598235131</v>
      </c>
      <c r="B394" s="1632">
        <f t="shared" ca="1" si="11"/>
        <v>1.8825656409980325</v>
      </c>
      <c r="C394" s="1594">
        <v>382</v>
      </c>
      <c r="D394" s="1665">
        <v>2719365.4824631587</v>
      </c>
    </row>
    <row r="395" spans="1:4" ht="16">
      <c r="A395" s="1632">
        <f t="shared" ca="1" si="10"/>
        <v>0.5287275752154329</v>
      </c>
      <c r="B395" s="1632">
        <f t="shared" ca="1" si="11"/>
        <v>1.257261876885623</v>
      </c>
      <c r="C395" s="1594">
        <v>383</v>
      </c>
      <c r="D395" s="1665">
        <v>2719365.4824631587</v>
      </c>
    </row>
    <row r="396" spans="1:4" ht="16">
      <c r="A396" s="1632">
        <f t="shared" ca="1" si="10"/>
        <v>0.46526698666444044</v>
      </c>
      <c r="B396" s="1632">
        <f t="shared" ca="1" si="11"/>
        <v>1.2023126094810688</v>
      </c>
      <c r="C396" s="1594">
        <v>384</v>
      </c>
      <c r="D396" s="1665">
        <v>2719365.4824631587</v>
      </c>
    </row>
    <row r="397" spans="1:4" ht="16">
      <c r="A397" s="1632">
        <f t="shared" ref="A397:A460" ca="1" si="12">RAND()</f>
        <v>0.36584305877454015</v>
      </c>
      <c r="B397" s="1632">
        <f t="shared" ref="B397:B460" ca="1" si="13">IF(A397&lt;=(B$5-B$4)/(B$6-B$4),$B$4+SQRT(A397*(B$6-B$4)*(B$5-B$4)),B$6-SQRT((1-A397)*(B$6-B$4)*(-B$5+B$6)))</f>
        <v>1.122413937074199</v>
      </c>
      <c r="C397" s="1594">
        <v>385</v>
      </c>
      <c r="D397" s="1665">
        <v>2719365.4824631587</v>
      </c>
    </row>
    <row r="398" spans="1:4" ht="16">
      <c r="A398" s="1632">
        <f t="shared" ca="1" si="12"/>
        <v>0.75061277850286634</v>
      </c>
      <c r="B398" s="1632">
        <f t="shared" ca="1" si="13"/>
        <v>1.4869530664001487</v>
      </c>
      <c r="C398" s="1594">
        <v>386</v>
      </c>
      <c r="D398" s="1665">
        <v>2719365.4824631587</v>
      </c>
    </row>
    <row r="399" spans="1:4" ht="16">
      <c r="A399" s="1632">
        <f t="shared" ca="1" si="12"/>
        <v>0.39681946903244658</v>
      </c>
      <c r="B399" s="1632">
        <f t="shared" ca="1" si="13"/>
        <v>1.1465887245432311</v>
      </c>
      <c r="C399" s="1594">
        <v>387</v>
      </c>
      <c r="D399" s="1665">
        <v>2719365.4824631587</v>
      </c>
    </row>
    <row r="400" spans="1:4" ht="16">
      <c r="A400" s="1632">
        <f t="shared" ca="1" si="12"/>
        <v>0.59599798097591661</v>
      </c>
      <c r="B400" s="1632">
        <f t="shared" ca="1" si="13"/>
        <v>1.3197237395195893</v>
      </c>
      <c r="C400" s="1594">
        <v>388</v>
      </c>
      <c r="D400" s="1665">
        <v>2719365.4824631587</v>
      </c>
    </row>
    <row r="401" spans="1:4" ht="16">
      <c r="A401" s="1632">
        <f t="shared" ca="1" si="12"/>
        <v>0.80505643037055052</v>
      </c>
      <c r="B401" s="1632">
        <f t="shared" ca="1" si="13"/>
        <v>1.5579852774770964</v>
      </c>
      <c r="C401" s="1594">
        <v>389</v>
      </c>
      <c r="D401" s="1665">
        <v>2719365.4824631587</v>
      </c>
    </row>
    <row r="402" spans="1:4" ht="16">
      <c r="A402" s="1632">
        <f t="shared" ca="1" si="12"/>
        <v>0.17199249433909558</v>
      </c>
      <c r="B402" s="1632">
        <f t="shared" ca="1" si="13"/>
        <v>0.98223010061456084</v>
      </c>
      <c r="C402" s="1594">
        <v>390</v>
      </c>
      <c r="D402" s="1665">
        <v>2719365.4824631587</v>
      </c>
    </row>
    <row r="403" spans="1:4" ht="16">
      <c r="A403" s="1632">
        <f t="shared" ca="1" si="12"/>
        <v>0.22287912183966241</v>
      </c>
      <c r="B403" s="1632">
        <f t="shared" ca="1" si="13"/>
        <v>1.0178164834984647</v>
      </c>
      <c r="C403" s="1594">
        <v>391</v>
      </c>
      <c r="D403" s="1665">
        <v>2719365.4824631587</v>
      </c>
    </row>
    <row r="404" spans="1:4" ht="16">
      <c r="A404" s="1632">
        <f t="shared" ca="1" si="12"/>
        <v>0.35878200415784023</v>
      </c>
      <c r="B404" s="1632">
        <f t="shared" ca="1" si="13"/>
        <v>1.1169865109093697</v>
      </c>
      <c r="C404" s="1594">
        <v>392</v>
      </c>
      <c r="D404" s="1665">
        <v>2719365.4824631587</v>
      </c>
    </row>
    <row r="405" spans="1:4" ht="16">
      <c r="A405" s="1632">
        <f t="shared" ca="1" si="12"/>
        <v>0.73196473761516623</v>
      </c>
      <c r="B405" s="1632">
        <f t="shared" ca="1" si="13"/>
        <v>1.4644458005693421</v>
      </c>
      <c r="C405" s="1594">
        <v>393</v>
      </c>
      <c r="D405" s="1665">
        <v>2719365.4824631587</v>
      </c>
    </row>
    <row r="406" spans="1:4" ht="16">
      <c r="A406" s="1632">
        <f t="shared" ca="1" si="12"/>
        <v>0.82602833422253064</v>
      </c>
      <c r="B406" s="1632">
        <f t="shared" ca="1" si="13"/>
        <v>1.5879694341871313</v>
      </c>
      <c r="C406" s="1594">
        <v>394</v>
      </c>
      <c r="D406" s="1665">
        <v>2719365.4824631587</v>
      </c>
    </row>
    <row r="407" spans="1:4" ht="16">
      <c r="A407" s="1632">
        <f t="shared" ca="1" si="12"/>
        <v>8.1808451352339051E-2</v>
      </c>
      <c r="B407" s="1632">
        <f t="shared" ca="1" si="13"/>
        <v>0.90395673644682528</v>
      </c>
      <c r="C407" s="1594">
        <v>395</v>
      </c>
      <c r="D407" s="1665">
        <v>2719365.4824631587</v>
      </c>
    </row>
    <row r="408" spans="1:4" ht="16">
      <c r="A408" s="1632">
        <f t="shared" ca="1" si="12"/>
        <v>0.47381290986536695</v>
      </c>
      <c r="B408" s="1632">
        <f t="shared" ca="1" si="13"/>
        <v>1.2095147700085689</v>
      </c>
      <c r="C408" s="1594">
        <v>396</v>
      </c>
      <c r="D408" s="1665">
        <v>2719365.4824631587</v>
      </c>
    </row>
    <row r="409" spans="1:4" ht="16">
      <c r="A409" s="1632">
        <f t="shared" ca="1" si="12"/>
        <v>0.4741620669926605</v>
      </c>
      <c r="B409" s="1632">
        <f t="shared" ca="1" si="13"/>
        <v>1.2098102645828472</v>
      </c>
      <c r="C409" s="1594">
        <v>397</v>
      </c>
      <c r="D409" s="1665">
        <v>2719365.4824631587</v>
      </c>
    </row>
    <row r="410" spans="1:4" ht="16">
      <c r="A410" s="1632">
        <f t="shared" ca="1" si="12"/>
        <v>0.15156195166314301</v>
      </c>
      <c r="B410" s="1632">
        <f t="shared" ca="1" si="13"/>
        <v>0.96677577139605442</v>
      </c>
      <c r="C410" s="1594">
        <v>398</v>
      </c>
      <c r="D410" s="1665">
        <v>2719365.4824631587</v>
      </c>
    </row>
    <row r="411" spans="1:4" ht="16">
      <c r="A411" s="1632">
        <f t="shared" ca="1" si="12"/>
        <v>0.24597842256863389</v>
      </c>
      <c r="B411" s="1632">
        <f t="shared" ca="1" si="13"/>
        <v>1.0340213336144719</v>
      </c>
      <c r="C411" s="1594">
        <v>399</v>
      </c>
      <c r="D411" s="1665">
        <v>2719365.4824631587</v>
      </c>
    </row>
    <row r="412" spans="1:4" ht="16">
      <c r="A412" s="1632">
        <f t="shared" ca="1" si="12"/>
        <v>0.62095097046299086</v>
      </c>
      <c r="B412" s="1632">
        <f t="shared" ca="1" si="13"/>
        <v>1.3442044671260138</v>
      </c>
      <c r="C412" s="1594">
        <v>400</v>
      </c>
      <c r="D412" s="1665">
        <v>2719365.4824631587</v>
      </c>
    </row>
    <row r="413" spans="1:4" ht="16">
      <c r="A413" s="1632">
        <f t="shared" ca="1" si="12"/>
        <v>0.71160178196479407</v>
      </c>
      <c r="B413" s="1632">
        <f t="shared" ca="1" si="13"/>
        <v>1.4407457891078319</v>
      </c>
      <c r="C413" s="1594">
        <v>401</v>
      </c>
      <c r="D413" s="1665">
        <v>2719365.4824631587</v>
      </c>
    </row>
    <row r="414" spans="1:4" ht="16">
      <c r="A414" s="1632">
        <f t="shared" ca="1" si="12"/>
        <v>0.42033514505787217</v>
      </c>
      <c r="B414" s="1632">
        <f t="shared" ca="1" si="13"/>
        <v>1.1653583914688013</v>
      </c>
      <c r="C414" s="1594">
        <v>402</v>
      </c>
      <c r="D414" s="1665">
        <v>2719365.4824631587</v>
      </c>
    </row>
    <row r="415" spans="1:4" ht="16">
      <c r="A415" s="1632">
        <f t="shared" ca="1" si="12"/>
        <v>0.72109038921394719</v>
      </c>
      <c r="B415" s="1632">
        <f t="shared" ca="1" si="13"/>
        <v>1.4516815724857257</v>
      </c>
      <c r="C415" s="1594">
        <v>403</v>
      </c>
      <c r="D415" s="1665">
        <v>2719365.4824631587</v>
      </c>
    </row>
    <row r="416" spans="1:4" ht="16">
      <c r="A416" s="1632">
        <f t="shared" ca="1" si="12"/>
        <v>0.85475664800638951</v>
      </c>
      <c r="B416" s="1632">
        <f t="shared" ca="1" si="13"/>
        <v>1.6321520210000144</v>
      </c>
      <c r="C416" s="1594">
        <v>404</v>
      </c>
      <c r="D416" s="1665">
        <v>2719365.4824631587</v>
      </c>
    </row>
    <row r="417" spans="1:4" ht="16">
      <c r="A417" s="1632">
        <f t="shared" ca="1" si="12"/>
        <v>0.23841831939834734</v>
      </c>
      <c r="B417" s="1632">
        <f t="shared" ca="1" si="13"/>
        <v>1.0286907110144659</v>
      </c>
      <c r="C417" s="1594">
        <v>405</v>
      </c>
      <c r="D417" s="1665">
        <v>2719365.4824631587</v>
      </c>
    </row>
    <row r="418" spans="1:4" ht="16">
      <c r="A418" s="1632">
        <f t="shared" ca="1" si="12"/>
        <v>0.6914426466804956</v>
      </c>
      <c r="B418" s="1632">
        <f t="shared" ca="1" si="13"/>
        <v>1.4180938983610036</v>
      </c>
      <c r="C418" s="1594">
        <v>406</v>
      </c>
      <c r="D418" s="1665">
        <v>2719365.4824631587</v>
      </c>
    </row>
    <row r="419" spans="1:4" ht="16">
      <c r="A419" s="1632">
        <f t="shared" ca="1" si="12"/>
        <v>0.70241888468818325</v>
      </c>
      <c r="B419" s="1632">
        <f t="shared" ca="1" si="13"/>
        <v>1.4303323654417008</v>
      </c>
      <c r="C419" s="1594">
        <v>407</v>
      </c>
      <c r="D419" s="1665">
        <v>2719365.4824631587</v>
      </c>
    </row>
    <row r="420" spans="1:4" ht="16">
      <c r="A420" s="1632">
        <f t="shared" ca="1" si="12"/>
        <v>0.39431680540656544</v>
      </c>
      <c r="B420" s="1632">
        <f t="shared" ca="1" si="13"/>
        <v>1.1446128668166469</v>
      </c>
      <c r="C420" s="1594">
        <v>408</v>
      </c>
      <c r="D420" s="1665">
        <v>2719365.4824631587</v>
      </c>
    </row>
    <row r="421" spans="1:4" ht="16">
      <c r="A421" s="1632">
        <f t="shared" ca="1" si="12"/>
        <v>0.10002238039322942</v>
      </c>
      <c r="B421" s="1632">
        <f t="shared" ca="1" si="13"/>
        <v>0.92234936575787185</v>
      </c>
      <c r="C421" s="1594">
        <v>409</v>
      </c>
      <c r="D421" s="1665">
        <v>2719365.4824631587</v>
      </c>
    </row>
    <row r="422" spans="1:4" ht="16">
      <c r="A422" s="1632">
        <f t="shared" ca="1" si="12"/>
        <v>0.81991948089707634</v>
      </c>
      <c r="B422" s="1632">
        <f t="shared" ca="1" si="13"/>
        <v>1.5790572562285698</v>
      </c>
      <c r="C422" s="1594">
        <v>410</v>
      </c>
      <c r="D422" s="1665">
        <v>2719365.4824631587</v>
      </c>
    </row>
    <row r="423" spans="1:4" ht="16">
      <c r="A423" s="1632">
        <f t="shared" ca="1" si="12"/>
        <v>0.55183066888670407</v>
      </c>
      <c r="B423" s="1632">
        <f t="shared" ca="1" si="13"/>
        <v>1.2781781324473429</v>
      </c>
      <c r="C423" s="1594">
        <v>411</v>
      </c>
      <c r="D423" s="1665">
        <v>2719365.4824631587</v>
      </c>
    </row>
    <row r="424" spans="1:4" ht="16">
      <c r="A424" s="1632">
        <f t="shared" ca="1" si="12"/>
        <v>0.42269921611340699</v>
      </c>
      <c r="B424" s="1632">
        <f t="shared" ca="1" si="13"/>
        <v>1.1672662323486431</v>
      </c>
      <c r="C424" s="1594">
        <v>412</v>
      </c>
      <c r="D424" s="1665">
        <v>2719365.4824631587</v>
      </c>
    </row>
    <row r="425" spans="1:4" ht="16">
      <c r="A425" s="1632">
        <f t="shared" ca="1" si="12"/>
        <v>0.83995416104312326</v>
      </c>
      <c r="B425" s="1632">
        <f t="shared" ca="1" si="13"/>
        <v>1.6088899519374367</v>
      </c>
      <c r="C425" s="1594">
        <v>413</v>
      </c>
      <c r="D425" s="1665">
        <v>2719365.4824631587</v>
      </c>
    </row>
    <row r="426" spans="1:4" ht="16">
      <c r="A426" s="1632">
        <f t="shared" ca="1" si="12"/>
        <v>0.87305677120882452</v>
      </c>
      <c r="B426" s="1632">
        <f t="shared" ca="1" si="13"/>
        <v>1.6626175063079212</v>
      </c>
      <c r="C426" s="1594">
        <v>414</v>
      </c>
      <c r="D426" s="1665">
        <v>2719365.4824631587</v>
      </c>
    </row>
    <row r="427" spans="1:4" ht="16">
      <c r="A427" s="1632">
        <f t="shared" ca="1" si="12"/>
        <v>0.69603047444844512</v>
      </c>
      <c r="B427" s="1632">
        <f t="shared" ca="1" si="13"/>
        <v>1.4231823916251933</v>
      </c>
      <c r="C427" s="1594">
        <v>415</v>
      </c>
      <c r="D427" s="1665">
        <v>2719365.4824631587</v>
      </c>
    </row>
    <row r="428" spans="1:4" ht="16">
      <c r="A428" s="1632">
        <f t="shared" ca="1" si="12"/>
        <v>0.16426921235648251</v>
      </c>
      <c r="B428" s="1632">
        <f t="shared" ca="1" si="13"/>
        <v>0.97650188975069319</v>
      </c>
      <c r="C428" s="1594">
        <v>416</v>
      </c>
      <c r="D428" s="1665">
        <v>2719365.4824631587</v>
      </c>
    </row>
    <row r="429" spans="1:4" ht="16">
      <c r="A429" s="1632">
        <f t="shared" ca="1" si="12"/>
        <v>0.94994566157096427</v>
      </c>
      <c r="B429" s="1632">
        <f t="shared" ca="1" si="13"/>
        <v>1.8253513371367762</v>
      </c>
      <c r="C429" s="1594">
        <v>417</v>
      </c>
      <c r="D429" s="1665">
        <v>2719365.4824631587</v>
      </c>
    </row>
    <row r="430" spans="1:4" ht="16">
      <c r="A430" s="1632">
        <f t="shared" ca="1" si="12"/>
        <v>0.94219052450803353</v>
      </c>
      <c r="B430" s="1632">
        <f t="shared" ca="1" si="13"/>
        <v>1.8048409249804549</v>
      </c>
      <c r="C430" s="1594">
        <v>418</v>
      </c>
      <c r="D430" s="1665">
        <v>2719365.4824631587</v>
      </c>
    </row>
    <row r="431" spans="1:4" ht="16">
      <c r="A431" s="1632">
        <f t="shared" ca="1" si="12"/>
        <v>0.18044905673597422</v>
      </c>
      <c r="B431" s="1632">
        <f t="shared" ca="1" si="13"/>
        <v>0.98835654837189024</v>
      </c>
      <c r="C431" s="1594">
        <v>419</v>
      </c>
      <c r="D431" s="1665">
        <v>2719365.4824631587</v>
      </c>
    </row>
    <row r="432" spans="1:4" ht="16">
      <c r="A432" s="1632">
        <f t="shared" ca="1" si="12"/>
        <v>0.6519285967947801</v>
      </c>
      <c r="B432" s="1632">
        <f t="shared" ca="1" si="13"/>
        <v>1.3757461738932499</v>
      </c>
      <c r="C432" s="1594">
        <v>420</v>
      </c>
      <c r="D432" s="1665">
        <v>2719365.4824631587</v>
      </c>
    </row>
    <row r="433" spans="1:4" ht="16">
      <c r="A433" s="1632">
        <f t="shared" ca="1" si="12"/>
        <v>0.39029472613591831</v>
      </c>
      <c r="B433" s="1632">
        <f t="shared" ca="1" si="13"/>
        <v>1.1414459599411355</v>
      </c>
      <c r="C433" s="1594">
        <v>421</v>
      </c>
      <c r="D433" s="1665">
        <v>2719365.4824631587</v>
      </c>
    </row>
    <row r="434" spans="1:4" ht="16">
      <c r="A434" s="1632">
        <f t="shared" ca="1" si="12"/>
        <v>0.72245243460086261</v>
      </c>
      <c r="B434" s="1632">
        <f t="shared" ca="1" si="13"/>
        <v>1.4532665301250445</v>
      </c>
      <c r="C434" s="1594">
        <v>422</v>
      </c>
      <c r="D434" s="1665">
        <v>2719365.4824631587</v>
      </c>
    </row>
    <row r="435" spans="1:4" ht="16">
      <c r="A435" s="1632">
        <f t="shared" ca="1" si="12"/>
        <v>0.59093931203632033</v>
      </c>
      <c r="B435" s="1632">
        <f t="shared" ca="1" si="13"/>
        <v>1.3148538627992461</v>
      </c>
      <c r="C435" s="1594">
        <v>423</v>
      </c>
      <c r="D435" s="1665">
        <v>2719365.4824631587</v>
      </c>
    </row>
    <row r="436" spans="1:4" ht="16">
      <c r="A436" s="1632">
        <f t="shared" ca="1" si="12"/>
        <v>0.24176661806941646</v>
      </c>
      <c r="B436" s="1632">
        <f t="shared" ca="1" si="13"/>
        <v>1.0310483142024662</v>
      </c>
      <c r="C436" s="1594">
        <v>424</v>
      </c>
      <c r="D436" s="1665">
        <v>2719365.4824631587</v>
      </c>
    </row>
    <row r="437" spans="1:4" ht="16">
      <c r="A437" s="1632">
        <f t="shared" ca="1" si="12"/>
        <v>0.63767008508710954</v>
      </c>
      <c r="B437" s="1632">
        <f t="shared" ca="1" si="13"/>
        <v>1.3610607726113562</v>
      </c>
      <c r="C437" s="1594">
        <v>425</v>
      </c>
      <c r="D437" s="1665">
        <v>2719365.4824631587</v>
      </c>
    </row>
    <row r="438" spans="1:4" ht="16">
      <c r="A438" s="1632">
        <f t="shared" ca="1" si="12"/>
        <v>0.79152114988775502</v>
      </c>
      <c r="B438" s="1632">
        <f t="shared" ca="1" si="13"/>
        <v>1.5394844987699687</v>
      </c>
      <c r="C438" s="1594">
        <v>426</v>
      </c>
      <c r="D438" s="1665">
        <v>2719365.4824631587</v>
      </c>
    </row>
    <row r="439" spans="1:4" ht="16">
      <c r="A439" s="1632">
        <f t="shared" ca="1" si="12"/>
        <v>0.62819550326717466</v>
      </c>
      <c r="B439" s="1632">
        <f t="shared" ca="1" si="13"/>
        <v>1.3514618402670657</v>
      </c>
      <c r="C439" s="1594">
        <v>427</v>
      </c>
      <c r="D439" s="1665">
        <v>2719365.4824631587</v>
      </c>
    </row>
    <row r="440" spans="1:4" ht="16">
      <c r="A440" s="1632">
        <f t="shared" ca="1" si="12"/>
        <v>0.74054893756134776</v>
      </c>
      <c r="B440" s="1632">
        <f t="shared" ca="1" si="13"/>
        <v>1.4747058683347101</v>
      </c>
      <c r="C440" s="1594">
        <v>428</v>
      </c>
      <c r="D440" s="1665">
        <v>2719365.4824631587</v>
      </c>
    </row>
    <row r="441" spans="1:4" ht="16">
      <c r="A441" s="1632">
        <f t="shared" ca="1" si="12"/>
        <v>0.62438698256524727</v>
      </c>
      <c r="B441" s="1632">
        <f t="shared" ca="1" si="13"/>
        <v>1.3476378416785089</v>
      </c>
      <c r="C441" s="1594">
        <v>429</v>
      </c>
      <c r="D441" s="1665">
        <v>2719365.4824631587</v>
      </c>
    </row>
    <row r="442" spans="1:4" ht="16">
      <c r="A442" s="1632">
        <f t="shared" ca="1" si="12"/>
        <v>0.4690996549286639</v>
      </c>
      <c r="B442" s="1632">
        <f t="shared" ca="1" si="13"/>
        <v>1.2055354562518961</v>
      </c>
      <c r="C442" s="1594">
        <v>430</v>
      </c>
      <c r="D442" s="1665">
        <v>2719365.4824631587</v>
      </c>
    </row>
    <row r="443" spans="1:4" ht="16">
      <c r="A443" s="1632">
        <f t="shared" ca="1" si="12"/>
        <v>0.30825957779636304</v>
      </c>
      <c r="B443" s="1632">
        <f t="shared" ca="1" si="13"/>
        <v>1.0789942134048012</v>
      </c>
      <c r="C443" s="1594">
        <v>431</v>
      </c>
      <c r="D443" s="1665">
        <v>2719365.4824631587</v>
      </c>
    </row>
    <row r="444" spans="1:4" ht="16">
      <c r="A444" s="1632">
        <f t="shared" ca="1" si="12"/>
        <v>0.21005542051360448</v>
      </c>
      <c r="B444" s="1632">
        <f t="shared" ca="1" si="13"/>
        <v>1.008924163366268</v>
      </c>
      <c r="C444" s="1594">
        <v>432</v>
      </c>
      <c r="D444" s="1665">
        <v>2719365.4824631587</v>
      </c>
    </row>
    <row r="445" spans="1:4" ht="16">
      <c r="A445" s="1632">
        <f t="shared" ca="1" si="12"/>
        <v>8.6561855476387617E-2</v>
      </c>
      <c r="B445" s="1632">
        <f t="shared" ca="1" si="13"/>
        <v>0.90893918056344114</v>
      </c>
      <c r="C445" s="1594">
        <v>433</v>
      </c>
      <c r="D445" s="1665">
        <v>2719365.4824631587</v>
      </c>
    </row>
    <row r="446" spans="1:4" ht="16">
      <c r="A446" s="1632">
        <f t="shared" ca="1" si="12"/>
        <v>0.86289639541004093</v>
      </c>
      <c r="B446" s="1632">
        <f t="shared" ca="1" si="13"/>
        <v>1.6454506274153837</v>
      </c>
      <c r="C446" s="1594">
        <v>434</v>
      </c>
      <c r="D446" s="1665">
        <v>2719365.4824631587</v>
      </c>
    </row>
    <row r="447" spans="1:4" ht="16">
      <c r="A447" s="1632">
        <f t="shared" ca="1" si="12"/>
        <v>0.64351696368535372</v>
      </c>
      <c r="B447" s="1632">
        <f t="shared" ca="1" si="13"/>
        <v>1.3670471122055852</v>
      </c>
      <c r="C447" s="1594">
        <v>435</v>
      </c>
      <c r="D447" s="1665">
        <v>2719365.4824631587</v>
      </c>
    </row>
    <row r="448" spans="1:4" ht="16">
      <c r="A448" s="1632">
        <f t="shared" ca="1" si="12"/>
        <v>0.79527258546863033</v>
      </c>
      <c r="B448" s="1632">
        <f t="shared" ca="1" si="13"/>
        <v>1.5445504400048784</v>
      </c>
      <c r="C448" s="1594">
        <v>436</v>
      </c>
      <c r="D448" s="1665">
        <v>2719365.4824631587</v>
      </c>
    </row>
    <row r="449" spans="1:4" ht="16">
      <c r="A449" s="1632">
        <f t="shared" ca="1" si="12"/>
        <v>0.41719060275184872</v>
      </c>
      <c r="B449" s="1632">
        <f t="shared" ca="1" si="13"/>
        <v>1.1628267173820181</v>
      </c>
      <c r="C449" s="1594">
        <v>437</v>
      </c>
      <c r="D449" s="1665">
        <v>2719365.4824631587</v>
      </c>
    </row>
    <row r="450" spans="1:4" ht="16">
      <c r="A450" s="1632">
        <f t="shared" ca="1" si="12"/>
        <v>0.449467829215356</v>
      </c>
      <c r="B450" s="1632">
        <f t="shared" ca="1" si="13"/>
        <v>1.1891476621468997</v>
      </c>
      <c r="C450" s="1594">
        <v>438</v>
      </c>
      <c r="D450" s="1665">
        <v>2719365.4824631587</v>
      </c>
    </row>
    <row r="451" spans="1:4" ht="16">
      <c r="A451" s="1632">
        <f t="shared" ca="1" si="12"/>
        <v>0.65166064808347568</v>
      </c>
      <c r="B451" s="1632">
        <f t="shared" ca="1" si="13"/>
        <v>1.375467458744466</v>
      </c>
      <c r="C451" s="1594">
        <v>439</v>
      </c>
      <c r="D451" s="1665">
        <v>2719365.4824631587</v>
      </c>
    </row>
    <row r="452" spans="1:4" ht="16">
      <c r="A452" s="1632">
        <f t="shared" ca="1" si="12"/>
        <v>0.4675671801444703</v>
      </c>
      <c r="B452" s="1632">
        <f t="shared" ca="1" si="13"/>
        <v>1.2042454245038527</v>
      </c>
      <c r="C452" s="1594">
        <v>440</v>
      </c>
      <c r="D452" s="1665">
        <v>2719365.4824631587</v>
      </c>
    </row>
    <row r="453" spans="1:4" ht="16">
      <c r="A453" s="1632">
        <f t="shared" ca="1" si="12"/>
        <v>0.22816046440156201</v>
      </c>
      <c r="B453" s="1632">
        <f t="shared" ca="1" si="13"/>
        <v>1.0215000323844019</v>
      </c>
      <c r="C453" s="1594">
        <v>441</v>
      </c>
      <c r="D453" s="1665">
        <v>2719365.4824631587</v>
      </c>
    </row>
    <row r="454" spans="1:4" ht="16">
      <c r="A454" s="1632">
        <f t="shared" ca="1" si="12"/>
        <v>0.71072458857299481</v>
      </c>
      <c r="B454" s="1632">
        <f t="shared" ca="1" si="13"/>
        <v>1.4397439549534614</v>
      </c>
      <c r="C454" s="1594">
        <v>442</v>
      </c>
      <c r="D454" s="1665">
        <v>2719365.4824631587</v>
      </c>
    </row>
    <row r="455" spans="1:4" ht="16">
      <c r="A455" s="1632">
        <f t="shared" ca="1" si="12"/>
        <v>0.21379490227131426</v>
      </c>
      <c r="B455" s="1632">
        <f t="shared" ca="1" si="13"/>
        <v>1.0115097233887989</v>
      </c>
      <c r="C455" s="1594">
        <v>443</v>
      </c>
      <c r="D455" s="1665">
        <v>2719365.4824631587</v>
      </c>
    </row>
    <row r="456" spans="1:4" ht="16">
      <c r="A456" s="1632">
        <f t="shared" ca="1" si="12"/>
        <v>0.97367394501880677</v>
      </c>
      <c r="B456" s="1632">
        <f t="shared" ca="1" si="13"/>
        <v>1.9008182617390386</v>
      </c>
      <c r="C456" s="1594">
        <v>444</v>
      </c>
      <c r="D456" s="1665">
        <v>2719365.4824631587</v>
      </c>
    </row>
    <row r="457" spans="1:4" ht="16">
      <c r="A457" s="1632">
        <f t="shared" ca="1" si="12"/>
        <v>0.7881711580100953</v>
      </c>
      <c r="B457" s="1632">
        <f t="shared" ca="1" si="13"/>
        <v>1.5349990576301784</v>
      </c>
      <c r="C457" s="1594">
        <v>445</v>
      </c>
      <c r="D457" s="1665">
        <v>2719365.4824631587</v>
      </c>
    </row>
    <row r="458" spans="1:4" ht="16">
      <c r="A458" s="1632">
        <f t="shared" ca="1" si="12"/>
        <v>0.19565303394941269</v>
      </c>
      <c r="B458" s="1632">
        <f t="shared" ca="1" si="13"/>
        <v>0.99902055173887327</v>
      </c>
      <c r="C458" s="1594">
        <v>446</v>
      </c>
      <c r="D458" s="1665">
        <v>2719365.4824631587</v>
      </c>
    </row>
    <row r="459" spans="1:4" ht="16">
      <c r="A459" s="1632">
        <f t="shared" ca="1" si="12"/>
        <v>0.41995282029336423</v>
      </c>
      <c r="B459" s="1632">
        <f t="shared" ca="1" si="13"/>
        <v>1.1650502153495621</v>
      </c>
      <c r="C459" s="1594">
        <v>447</v>
      </c>
      <c r="D459" s="1665">
        <v>2719365.4824631587</v>
      </c>
    </row>
    <row r="460" spans="1:4" ht="16">
      <c r="A460" s="1632">
        <f t="shared" ca="1" si="12"/>
        <v>0.18237346694542333</v>
      </c>
      <c r="B460" s="1632">
        <f t="shared" ca="1" si="13"/>
        <v>0.98973052462718369</v>
      </c>
      <c r="C460" s="1594">
        <v>448</v>
      </c>
      <c r="D460" s="1665">
        <v>2719365.4824631587</v>
      </c>
    </row>
    <row r="461" spans="1:4" ht="16">
      <c r="A461" s="1632">
        <f t="shared" ref="A461:A524" ca="1" si="14">RAND()</f>
        <v>0.68260995825453119</v>
      </c>
      <c r="B461" s="1632">
        <f t="shared" ref="B461:B524" ca="1" si="15">IF(A461&lt;=(B$5-B$4)/(B$6-B$4),$B$4+SQRT(A461*(B$6-B$4)*(B$5-B$4)),B$6-SQRT((1-A461)*(B$6-B$4)*(-B$5+B$6)))</f>
        <v>1.4084027234651502</v>
      </c>
      <c r="C461" s="1594">
        <v>449</v>
      </c>
      <c r="D461" s="1665">
        <v>2719365.4824631587</v>
      </c>
    </row>
    <row r="462" spans="1:4" ht="16">
      <c r="A462" s="1632">
        <f t="shared" ca="1" si="14"/>
        <v>0.22571200262059465</v>
      </c>
      <c r="B462" s="1632">
        <f t="shared" ca="1" si="15"/>
        <v>1.0197907554317247</v>
      </c>
      <c r="C462" s="1594">
        <v>450</v>
      </c>
      <c r="D462" s="1665">
        <v>2719365.4824631587</v>
      </c>
    </row>
    <row r="463" spans="1:4" ht="16">
      <c r="A463" s="1632">
        <f t="shared" ca="1" si="14"/>
        <v>3.2686254103513113E-2</v>
      </c>
      <c r="B463" s="1632">
        <f t="shared" ca="1" si="15"/>
        <v>0.83995747083709005</v>
      </c>
      <c r="C463" s="1594">
        <v>451</v>
      </c>
      <c r="D463" s="1665">
        <v>2719365.4824631587</v>
      </c>
    </row>
    <row r="464" spans="1:4" ht="16">
      <c r="A464" s="1632">
        <f t="shared" ca="1" si="14"/>
        <v>0.76523810830925254</v>
      </c>
      <c r="B464" s="1632">
        <f t="shared" ca="1" si="15"/>
        <v>1.505200730684749</v>
      </c>
      <c r="C464" s="1594">
        <v>452</v>
      </c>
      <c r="D464" s="1665">
        <v>2719365.4824631587</v>
      </c>
    </row>
    <row r="465" spans="1:4" ht="16">
      <c r="A465" s="1632">
        <f t="shared" ca="1" si="14"/>
        <v>0.45359757169350967</v>
      </c>
      <c r="B465" s="1632">
        <f t="shared" ca="1" si="15"/>
        <v>1.192570410743687</v>
      </c>
      <c r="C465" s="1594">
        <v>453</v>
      </c>
      <c r="D465" s="1665">
        <v>2719365.4824631587</v>
      </c>
    </row>
    <row r="466" spans="1:4" ht="16">
      <c r="A466" s="1632">
        <f t="shared" ca="1" si="14"/>
        <v>0.65022452455563873</v>
      </c>
      <c r="B466" s="1632">
        <f t="shared" ca="1" si="15"/>
        <v>1.3739754539310312</v>
      </c>
      <c r="C466" s="1594">
        <v>454</v>
      </c>
      <c r="D466" s="1665">
        <v>2719365.4824631587</v>
      </c>
    </row>
    <row r="467" spans="1:4" ht="16">
      <c r="A467" s="1632">
        <f t="shared" ca="1" si="14"/>
        <v>0.28403700507115004</v>
      </c>
      <c r="B467" s="1632">
        <f t="shared" ca="1" si="15"/>
        <v>1.061271819310857</v>
      </c>
      <c r="C467" s="1594">
        <v>455</v>
      </c>
      <c r="D467" s="1665">
        <v>2719365.4824631587</v>
      </c>
    </row>
    <row r="468" spans="1:4" ht="16">
      <c r="A468" s="1632">
        <f t="shared" ca="1" si="14"/>
        <v>1.3298384866614166E-2</v>
      </c>
      <c r="B468" s="1632">
        <f t="shared" ca="1" si="15"/>
        <v>0.80013610027767856</v>
      </c>
      <c r="C468" s="1594">
        <v>456</v>
      </c>
      <c r="D468" s="1665">
        <v>2719365.4824631587</v>
      </c>
    </row>
    <row r="469" spans="1:4" ht="16">
      <c r="A469" s="1632">
        <f t="shared" ca="1" si="14"/>
        <v>0.62022379112342829</v>
      </c>
      <c r="B469" s="1632">
        <f t="shared" ca="1" si="15"/>
        <v>1.3434798437734832</v>
      </c>
      <c r="C469" s="1594">
        <v>457</v>
      </c>
      <c r="D469" s="1665">
        <v>2719365.4824631587</v>
      </c>
    </row>
    <row r="470" spans="1:4" ht="16">
      <c r="A470" s="1632">
        <f t="shared" ca="1" si="14"/>
        <v>3.3721639069813625E-2</v>
      </c>
      <c r="B470" s="1632">
        <f t="shared" ca="1" si="15"/>
        <v>0.84168542560210824</v>
      </c>
      <c r="C470" s="1594">
        <v>458</v>
      </c>
      <c r="D470" s="1665">
        <v>2719365.4824631587</v>
      </c>
    </row>
    <row r="471" spans="1:4" ht="16">
      <c r="A471" s="1632">
        <f t="shared" ca="1" si="14"/>
        <v>0.62297991679216647</v>
      </c>
      <c r="B471" s="1632">
        <f t="shared" ca="1" si="15"/>
        <v>1.3462299651788983</v>
      </c>
      <c r="C471" s="1594">
        <v>459</v>
      </c>
      <c r="D471" s="1665">
        <v>2719365.4824631587</v>
      </c>
    </row>
    <row r="472" spans="1:4" ht="16">
      <c r="A472" s="1632">
        <f t="shared" ca="1" si="14"/>
        <v>1.7578784461485308E-2</v>
      </c>
      <c r="B472" s="1632">
        <f t="shared" ca="1" si="15"/>
        <v>0.81063741298121739</v>
      </c>
      <c r="C472" s="1594">
        <v>460</v>
      </c>
      <c r="D472" s="1665">
        <v>2719365.4824631587</v>
      </c>
    </row>
    <row r="473" spans="1:4" ht="16">
      <c r="A473" s="1632">
        <f t="shared" ca="1" si="14"/>
        <v>0.92838132957152619</v>
      </c>
      <c r="B473" s="1632">
        <f t="shared" ca="1" si="15"/>
        <v>1.7714739944301061</v>
      </c>
      <c r="C473" s="1594">
        <v>461</v>
      </c>
      <c r="D473" s="1665">
        <v>2719365.4824631587</v>
      </c>
    </row>
    <row r="474" spans="1:4" ht="16">
      <c r="A474" s="1632">
        <f t="shared" ca="1" si="14"/>
        <v>0.4652930002364164</v>
      </c>
      <c r="B474" s="1632">
        <f t="shared" ca="1" si="15"/>
        <v>1.2023344449942839</v>
      </c>
      <c r="C474" s="1594">
        <v>462</v>
      </c>
      <c r="D474" s="1665">
        <v>2719365.4824631587</v>
      </c>
    </row>
    <row r="475" spans="1:4" ht="16">
      <c r="A475" s="1632">
        <f t="shared" ca="1" si="14"/>
        <v>0.37301589177719086</v>
      </c>
      <c r="B475" s="1632">
        <f t="shared" ca="1" si="15"/>
        <v>1.1279583079457067</v>
      </c>
      <c r="C475" s="1594">
        <v>463</v>
      </c>
      <c r="D475" s="1665">
        <v>2719365.4824631587</v>
      </c>
    </row>
    <row r="476" spans="1:4" ht="16">
      <c r="A476" s="1632">
        <f t="shared" ca="1" si="14"/>
        <v>0.26936273636864549</v>
      </c>
      <c r="B476" s="1632">
        <f t="shared" ca="1" si="15"/>
        <v>1.0506810035587599</v>
      </c>
      <c r="C476" s="1594">
        <v>464</v>
      </c>
      <c r="D476" s="1665">
        <v>2719365.4824631587</v>
      </c>
    </row>
    <row r="477" spans="1:4" ht="16">
      <c r="A477" s="1632">
        <f t="shared" ca="1" si="14"/>
        <v>0.3611072336038269</v>
      </c>
      <c r="B477" s="1632">
        <f t="shared" ca="1" si="15"/>
        <v>1.1187704657120063</v>
      </c>
      <c r="C477" s="1594">
        <v>465</v>
      </c>
      <c r="D477" s="1665">
        <v>2719365.4824631587</v>
      </c>
    </row>
    <row r="478" spans="1:4" ht="16">
      <c r="A478" s="1632">
        <f t="shared" ca="1" si="14"/>
        <v>0.30120695820093368</v>
      </c>
      <c r="B478" s="1632">
        <f t="shared" ca="1" si="15"/>
        <v>1.0738025950182915</v>
      </c>
      <c r="C478" s="1594">
        <v>466</v>
      </c>
      <c r="D478" s="1665">
        <v>2719365.4824631587</v>
      </c>
    </row>
    <row r="479" spans="1:4" ht="16">
      <c r="A479" s="1632">
        <f t="shared" ca="1" si="14"/>
        <v>0.33337410927162003</v>
      </c>
      <c r="B479" s="1632">
        <f t="shared" ca="1" si="15"/>
        <v>1.0977000362527849</v>
      </c>
      <c r="C479" s="1594">
        <v>467</v>
      </c>
      <c r="D479" s="1665">
        <v>2719365.4824631587</v>
      </c>
    </row>
    <row r="480" spans="1:4" ht="16">
      <c r="A480" s="1632">
        <f t="shared" ca="1" si="14"/>
        <v>0.17362446406914778</v>
      </c>
      <c r="B480" s="1632">
        <f t="shared" ca="1" si="15"/>
        <v>0.98342393189905675</v>
      </c>
      <c r="C480" s="1594">
        <v>468</v>
      </c>
      <c r="D480" s="1665">
        <v>2719365.4824631587</v>
      </c>
    </row>
    <row r="481" spans="1:4" ht="16">
      <c r="A481" s="1632">
        <f t="shared" ca="1" si="14"/>
        <v>0.89415948413828372</v>
      </c>
      <c r="B481" s="1632">
        <f t="shared" ca="1" si="15"/>
        <v>1.7006234140518419</v>
      </c>
      <c r="C481" s="1594">
        <v>469</v>
      </c>
      <c r="D481" s="1665">
        <v>2719365.4824631587</v>
      </c>
    </row>
    <row r="482" spans="1:4" ht="16">
      <c r="A482" s="1632">
        <f t="shared" ca="1" si="14"/>
        <v>0.25792576359484387</v>
      </c>
      <c r="B482" s="1632">
        <f t="shared" ca="1" si="15"/>
        <v>1.042500177653646</v>
      </c>
      <c r="C482" s="1594">
        <v>470</v>
      </c>
      <c r="D482" s="1665">
        <v>2719365.4824631587</v>
      </c>
    </row>
    <row r="483" spans="1:4" ht="16">
      <c r="A483" s="1632">
        <f t="shared" ca="1" si="14"/>
        <v>6.5636947244702148E-2</v>
      </c>
      <c r="B483" s="1632">
        <f t="shared" ca="1" si="15"/>
        <v>0.88581754325433104</v>
      </c>
      <c r="C483" s="1594">
        <v>471</v>
      </c>
      <c r="D483" s="1665">
        <v>2719365.4824631587</v>
      </c>
    </row>
    <row r="484" spans="1:4" ht="16">
      <c r="A484" s="1632">
        <f t="shared" ca="1" si="14"/>
        <v>0.50297070130717658</v>
      </c>
      <c r="B484" s="1632">
        <f t="shared" ca="1" si="15"/>
        <v>1.2345387627801667</v>
      </c>
      <c r="C484" s="1594">
        <v>472</v>
      </c>
      <c r="D484" s="1665">
        <v>2719365.4824631587</v>
      </c>
    </row>
    <row r="485" spans="1:4" ht="16">
      <c r="A485" s="1632">
        <f t="shared" ca="1" si="14"/>
        <v>0.4911930326915922</v>
      </c>
      <c r="B485" s="1632">
        <f t="shared" ca="1" si="15"/>
        <v>1.2243447597748469</v>
      </c>
      <c r="C485" s="1594">
        <v>473</v>
      </c>
      <c r="D485" s="1665">
        <v>2719365.4824631587</v>
      </c>
    </row>
    <row r="486" spans="1:4" ht="16">
      <c r="A486" s="1632">
        <f t="shared" ca="1" si="14"/>
        <v>0.52640254501113004</v>
      </c>
      <c r="B486" s="1632">
        <f t="shared" ca="1" si="15"/>
        <v>1.2551856034203566</v>
      </c>
      <c r="C486" s="1594">
        <v>474</v>
      </c>
      <c r="D486" s="1665">
        <v>2719365.4824631587</v>
      </c>
    </row>
    <row r="487" spans="1:4" ht="16">
      <c r="A487" s="1632">
        <f t="shared" ca="1" si="14"/>
        <v>0.53945135435227765</v>
      </c>
      <c r="B487" s="1632">
        <f t="shared" ca="1" si="15"/>
        <v>1.266905282101058</v>
      </c>
      <c r="C487" s="1594">
        <v>475</v>
      </c>
      <c r="D487" s="1665">
        <v>2719365.4824631587</v>
      </c>
    </row>
    <row r="488" spans="1:4" ht="16">
      <c r="A488" s="1632">
        <f t="shared" ca="1" si="14"/>
        <v>0.55059318812409008</v>
      </c>
      <c r="B488" s="1632">
        <f t="shared" ca="1" si="15"/>
        <v>1.2770443113405217</v>
      </c>
      <c r="C488" s="1594">
        <v>476</v>
      </c>
      <c r="D488" s="1665">
        <v>2719365.4824631587</v>
      </c>
    </row>
    <row r="489" spans="1:4" ht="16">
      <c r="A489" s="1632">
        <f t="shared" ca="1" si="14"/>
        <v>0.21672417030989333</v>
      </c>
      <c r="B489" s="1632">
        <f t="shared" ca="1" si="15"/>
        <v>1.0135393815959131</v>
      </c>
      <c r="C489" s="1594">
        <v>477</v>
      </c>
      <c r="D489" s="1665">
        <v>2719365.4824631587</v>
      </c>
    </row>
    <row r="490" spans="1:4" ht="16">
      <c r="A490" s="1632">
        <f t="shared" ca="1" si="14"/>
        <v>0.13196729345169822</v>
      </c>
      <c r="B490" s="1632">
        <f t="shared" ca="1" si="15"/>
        <v>0.95094049390680557</v>
      </c>
      <c r="C490" s="1594">
        <v>478</v>
      </c>
      <c r="D490" s="1665">
        <v>2719365.4824631587</v>
      </c>
    </row>
    <row r="491" spans="1:4" ht="16">
      <c r="A491" s="1632">
        <f t="shared" ca="1" si="14"/>
        <v>0.55014418895506401</v>
      </c>
      <c r="B491" s="1632">
        <f t="shared" ca="1" si="15"/>
        <v>1.2766333093665261</v>
      </c>
      <c r="C491" s="1594">
        <v>479</v>
      </c>
      <c r="D491" s="1665">
        <v>2719365.4824631587</v>
      </c>
    </row>
    <row r="492" spans="1:4" ht="16">
      <c r="A492" s="1632">
        <f t="shared" ca="1" si="14"/>
        <v>0.13836875692685768</v>
      </c>
      <c r="B492" s="1632">
        <f t="shared" ca="1" si="15"/>
        <v>0.95623572482533492</v>
      </c>
      <c r="C492" s="1594">
        <v>480</v>
      </c>
      <c r="D492" s="1665">
        <v>2719365.4824631587</v>
      </c>
    </row>
    <row r="493" spans="1:4" ht="16">
      <c r="A493" s="1632">
        <f t="shared" ca="1" si="14"/>
        <v>0.98714677537193096</v>
      </c>
      <c r="B493" s="1632">
        <f t="shared" ca="1" si="15"/>
        <v>1.9608245369524497</v>
      </c>
      <c r="C493" s="1594">
        <v>481</v>
      </c>
      <c r="D493" s="1665">
        <v>2719365.4824631587</v>
      </c>
    </row>
    <row r="494" spans="1:4" ht="16">
      <c r="A494" s="1632">
        <f t="shared" ca="1" si="14"/>
        <v>0.97114595654438141</v>
      </c>
      <c r="B494" s="1632">
        <f t="shared" ca="1" si="15"/>
        <v>1.8914741179430783</v>
      </c>
      <c r="C494" s="1594">
        <v>482</v>
      </c>
      <c r="D494" s="1665">
        <v>2719365.4824631587</v>
      </c>
    </row>
    <row r="495" spans="1:4" ht="16">
      <c r="A495" s="1632">
        <f t="shared" ca="1" si="14"/>
        <v>0.48636201069118234</v>
      </c>
      <c r="B495" s="1632">
        <f t="shared" ca="1" si="15"/>
        <v>1.2201974938155788</v>
      </c>
      <c r="C495" s="1594">
        <v>483</v>
      </c>
      <c r="D495" s="1665">
        <v>2719365.4824631587</v>
      </c>
    </row>
    <row r="496" spans="1:4" ht="16">
      <c r="A496" s="1632">
        <f t="shared" ca="1" si="14"/>
        <v>0.91450507906334466</v>
      </c>
      <c r="B496" s="1632">
        <f t="shared" ca="1" si="15"/>
        <v>1.7410559293545309</v>
      </c>
      <c r="C496" s="1594">
        <v>484</v>
      </c>
      <c r="D496" s="1665">
        <v>2719365.4824631587</v>
      </c>
    </row>
    <row r="497" spans="1:4" ht="16">
      <c r="A497" s="1632">
        <f t="shared" ca="1" si="14"/>
        <v>1.9625875238378776E-2</v>
      </c>
      <c r="B497" s="1632">
        <f t="shared" ca="1" si="15"/>
        <v>0.81520335234412022</v>
      </c>
      <c r="C497" s="1594">
        <v>485</v>
      </c>
      <c r="D497" s="1665">
        <v>2719365.4824631587</v>
      </c>
    </row>
    <row r="498" spans="1:4" ht="16">
      <c r="A498" s="1632">
        <f t="shared" ca="1" si="14"/>
        <v>0.6622369894761807</v>
      </c>
      <c r="B498" s="1632">
        <f t="shared" ca="1" si="15"/>
        <v>1.3865514336272056</v>
      </c>
      <c r="C498" s="1594">
        <v>486</v>
      </c>
      <c r="D498" s="1665">
        <v>2719365.4824631587</v>
      </c>
    </row>
    <row r="499" spans="1:4" ht="16">
      <c r="A499" s="1632">
        <f t="shared" ca="1" si="14"/>
        <v>0.31106600033704446</v>
      </c>
      <c r="B499" s="1632">
        <f t="shared" ca="1" si="15"/>
        <v>1.0810674519419483</v>
      </c>
      <c r="C499" s="1594">
        <v>487</v>
      </c>
      <c r="D499" s="1665">
        <v>2719365.4824631587</v>
      </c>
    </row>
    <row r="500" spans="1:4" ht="16">
      <c r="A500" s="1632">
        <f t="shared" ca="1" si="14"/>
        <v>0.2763602342536231</v>
      </c>
      <c r="B500" s="1632">
        <f t="shared" ca="1" si="15"/>
        <v>1.0557178891794661</v>
      </c>
      <c r="C500" s="1594">
        <v>488</v>
      </c>
      <c r="D500" s="1665">
        <v>2719365.4824631587</v>
      </c>
    </row>
    <row r="501" spans="1:4" ht="16">
      <c r="A501" s="1632">
        <f t="shared" ca="1" si="14"/>
        <v>0.9281919664920919</v>
      </c>
      <c r="B501" s="1632">
        <f t="shared" ca="1" si="15"/>
        <v>1.7710399621589008</v>
      </c>
      <c r="C501" s="1594">
        <v>489</v>
      </c>
      <c r="D501" s="1665">
        <v>2719365.4824631587</v>
      </c>
    </row>
    <row r="502" spans="1:4" ht="16">
      <c r="A502" s="1632">
        <f t="shared" ca="1" si="14"/>
        <v>0.71369315047310666</v>
      </c>
      <c r="B502" s="1632">
        <f t="shared" ca="1" si="15"/>
        <v>1.4431404851590957</v>
      </c>
      <c r="C502" s="1594">
        <v>490</v>
      </c>
      <c r="D502" s="1665">
        <v>2719365.4824631587</v>
      </c>
    </row>
    <row r="503" spans="1:4" ht="16">
      <c r="A503" s="1632">
        <f t="shared" ca="1" si="14"/>
        <v>0.13398543863302181</v>
      </c>
      <c r="B503" s="1632">
        <f t="shared" ca="1" si="15"/>
        <v>0.95262347978224304</v>
      </c>
      <c r="C503" s="1594">
        <v>491</v>
      </c>
      <c r="D503" s="1665">
        <v>2719365.4824631587</v>
      </c>
    </row>
    <row r="504" spans="1:4" ht="16">
      <c r="A504" s="1632">
        <f t="shared" ca="1" si="14"/>
        <v>0.33239760419023801</v>
      </c>
      <c r="B504" s="1632">
        <f t="shared" ca="1" si="15"/>
        <v>1.0969661967384592</v>
      </c>
      <c r="C504" s="1594">
        <v>492</v>
      </c>
      <c r="D504" s="1665">
        <v>2719365.4824631587</v>
      </c>
    </row>
    <row r="505" spans="1:4" ht="16">
      <c r="A505" s="1632">
        <f t="shared" ca="1" si="14"/>
        <v>0.14556924744737298</v>
      </c>
      <c r="B505" s="1632">
        <f t="shared" ca="1" si="15"/>
        <v>0.96204754821110106</v>
      </c>
      <c r="C505" s="1594">
        <v>493</v>
      </c>
      <c r="D505" s="1665">
        <v>2719365.4824631587</v>
      </c>
    </row>
    <row r="506" spans="1:4" ht="16">
      <c r="A506" s="1632">
        <f t="shared" ca="1" si="14"/>
        <v>0.46700842779508045</v>
      </c>
      <c r="B506" s="1632">
        <f t="shared" ca="1" si="15"/>
        <v>1.2037755307330569</v>
      </c>
      <c r="C506" s="1594">
        <v>494</v>
      </c>
      <c r="D506" s="1665">
        <v>2719365.4824631587</v>
      </c>
    </row>
    <row r="507" spans="1:4" ht="16">
      <c r="A507" s="1632">
        <f t="shared" ca="1" si="14"/>
        <v>0.51816483738250507</v>
      </c>
      <c r="B507" s="1632">
        <f t="shared" ca="1" si="15"/>
        <v>1.2478699688048984</v>
      </c>
      <c r="C507" s="1594">
        <v>495</v>
      </c>
      <c r="D507" s="1665">
        <v>2719365.4824631587</v>
      </c>
    </row>
    <row r="508" spans="1:4" ht="16">
      <c r="A508" s="1632">
        <f t="shared" ca="1" si="14"/>
        <v>0.24888623099368334</v>
      </c>
      <c r="B508" s="1632">
        <f t="shared" ca="1" si="15"/>
        <v>1.0360787388662076</v>
      </c>
      <c r="C508" s="1594">
        <v>496</v>
      </c>
      <c r="D508" s="1665">
        <v>2719365.4824631587</v>
      </c>
    </row>
    <row r="509" spans="1:4" ht="16">
      <c r="A509" s="1632">
        <f t="shared" ca="1" si="14"/>
        <v>0.52721453022083431</v>
      </c>
      <c r="B509" s="1632">
        <f t="shared" ca="1" si="15"/>
        <v>1.2559101333642237</v>
      </c>
      <c r="C509" s="1594">
        <v>497</v>
      </c>
      <c r="D509" s="1665">
        <v>2719365.4824631587</v>
      </c>
    </row>
    <row r="510" spans="1:4" ht="16">
      <c r="A510" s="1632">
        <f t="shared" ca="1" si="14"/>
        <v>0.6469789277442255</v>
      </c>
      <c r="B510" s="1632">
        <f t="shared" ca="1" si="15"/>
        <v>1.3706148096585371</v>
      </c>
      <c r="C510" s="1594">
        <v>498</v>
      </c>
      <c r="D510" s="1665">
        <v>2719365.4824631587</v>
      </c>
    </row>
    <row r="511" spans="1:4" ht="16">
      <c r="A511" s="1632">
        <f t="shared" ca="1" si="14"/>
        <v>0.60511219205538724</v>
      </c>
      <c r="B511" s="1632">
        <f t="shared" ca="1" si="15"/>
        <v>1.328575391517401</v>
      </c>
      <c r="C511" s="1594">
        <v>499</v>
      </c>
      <c r="D511" s="1665">
        <v>2719365.4824631587</v>
      </c>
    </row>
    <row r="512" spans="1:4" ht="16">
      <c r="A512" s="1632">
        <f t="shared" ca="1" si="14"/>
        <v>0.57804985517958551</v>
      </c>
      <c r="B512" s="1632">
        <f t="shared" ca="1" si="15"/>
        <v>1.3025798671689031</v>
      </c>
      <c r="C512" s="1594">
        <v>500</v>
      </c>
      <c r="D512" s="1665">
        <v>2719365.4824631587</v>
      </c>
    </row>
    <row r="513" spans="1:4" ht="16">
      <c r="A513" s="1632">
        <f t="shared" ca="1" si="14"/>
        <v>0.70177131925320457</v>
      </c>
      <c r="B513" s="1632">
        <f t="shared" ca="1" si="15"/>
        <v>1.4296041304681086</v>
      </c>
      <c r="C513" s="1594">
        <v>501</v>
      </c>
      <c r="D513" s="1665">
        <v>2719365.4824631587</v>
      </c>
    </row>
    <row r="514" spans="1:4" ht="16">
      <c r="A514" s="1632">
        <f t="shared" ca="1" si="14"/>
        <v>0.19687469462975282</v>
      </c>
      <c r="B514" s="1632">
        <f t="shared" ca="1" si="15"/>
        <v>0.99985912907208752</v>
      </c>
      <c r="C514" s="1594">
        <v>502</v>
      </c>
      <c r="D514" s="1665">
        <v>2719365.4824631587</v>
      </c>
    </row>
    <row r="515" spans="1:4" ht="16">
      <c r="A515" s="1632">
        <f t="shared" ca="1" si="14"/>
        <v>0.75322312092231514</v>
      </c>
      <c r="B515" s="1632">
        <f t="shared" ca="1" si="15"/>
        <v>1.4901698951592575</v>
      </c>
      <c r="C515" s="1594">
        <v>503</v>
      </c>
      <c r="D515" s="1665">
        <v>2719365.4824631587</v>
      </c>
    </row>
    <row r="516" spans="1:4" ht="16">
      <c r="A516" s="1632">
        <f t="shared" ca="1" si="14"/>
        <v>0.33784525241763885</v>
      </c>
      <c r="B516" s="1632">
        <f t="shared" ca="1" si="15"/>
        <v>1.1010669669058801</v>
      </c>
      <c r="C516" s="1594">
        <v>504</v>
      </c>
      <c r="D516" s="1665">
        <v>2719365.4824631587</v>
      </c>
    </row>
    <row r="517" spans="1:4" ht="16">
      <c r="A517" s="1632">
        <f t="shared" ca="1" si="14"/>
        <v>0.63740814015280001</v>
      </c>
      <c r="B517" s="1632">
        <f t="shared" ca="1" si="15"/>
        <v>1.3607937143193856</v>
      </c>
      <c r="C517" s="1594">
        <v>505</v>
      </c>
      <c r="D517" s="1665">
        <v>2719365.4824631587</v>
      </c>
    </row>
    <row r="518" spans="1:4" ht="16">
      <c r="A518" s="1632">
        <f t="shared" ca="1" si="14"/>
        <v>0.55841983756451863</v>
      </c>
      <c r="B518" s="1632">
        <f t="shared" ca="1" si="15"/>
        <v>1.2842418834052154</v>
      </c>
      <c r="C518" s="1594">
        <v>506</v>
      </c>
      <c r="D518" s="1665">
        <v>2719365.4824631587</v>
      </c>
    </row>
    <row r="519" spans="1:4" ht="16">
      <c r="A519" s="1632">
        <f t="shared" ca="1" si="14"/>
        <v>0.65408011451535109</v>
      </c>
      <c r="B519" s="1632">
        <f t="shared" ca="1" si="15"/>
        <v>1.377988042048218</v>
      </c>
      <c r="C519" s="1594">
        <v>507</v>
      </c>
      <c r="D519" s="1665">
        <v>2719365.4824631587</v>
      </c>
    </row>
    <row r="520" spans="1:4" ht="16">
      <c r="A520" s="1632">
        <f t="shared" ca="1" si="14"/>
        <v>0.85106911680343267</v>
      </c>
      <c r="B520" s="1632">
        <f t="shared" ca="1" si="15"/>
        <v>1.6262502337971796</v>
      </c>
      <c r="C520" s="1594">
        <v>508</v>
      </c>
      <c r="D520" s="1665">
        <v>2719365.4824631587</v>
      </c>
    </row>
    <row r="521" spans="1:4" ht="16">
      <c r="A521" s="1632">
        <f t="shared" ca="1" si="14"/>
        <v>2.8608635178126174E-2</v>
      </c>
      <c r="B521" s="1632">
        <f t="shared" ca="1" si="15"/>
        <v>0.8328704726944951</v>
      </c>
      <c r="C521" s="1594">
        <v>509</v>
      </c>
      <c r="D521" s="1665">
        <v>2719365.4824631587</v>
      </c>
    </row>
    <row r="522" spans="1:4" ht="16">
      <c r="A522" s="1632">
        <f t="shared" ca="1" si="14"/>
        <v>0.86850619081278346</v>
      </c>
      <c r="B522" s="1632">
        <f t="shared" ca="1" si="15"/>
        <v>1.6548470257932277</v>
      </c>
      <c r="C522" s="1594">
        <v>510</v>
      </c>
      <c r="D522" s="1665">
        <v>2719365.4824631587</v>
      </c>
    </row>
    <row r="523" spans="1:4" ht="16">
      <c r="A523" s="1632">
        <f t="shared" ca="1" si="14"/>
        <v>0.28026508778546411</v>
      </c>
      <c r="B523" s="1632">
        <f t="shared" ca="1" si="15"/>
        <v>1.058539240918168</v>
      </c>
      <c r="C523" s="1594">
        <v>511</v>
      </c>
      <c r="D523" s="1665">
        <v>2719365.4824631587</v>
      </c>
    </row>
    <row r="524" spans="1:4" ht="16">
      <c r="A524" s="1632">
        <f t="shared" ca="1" si="14"/>
        <v>0.95338418546136161</v>
      </c>
      <c r="B524" s="1632">
        <f t="shared" ca="1" si="15"/>
        <v>1.8349527730578417</v>
      </c>
      <c r="C524" s="1594">
        <v>512</v>
      </c>
      <c r="D524" s="1665">
        <v>2719365.4824631587</v>
      </c>
    </row>
    <row r="525" spans="1:4" ht="16">
      <c r="A525" s="1632">
        <f t="shared" ref="A525:A588" ca="1" si="16">RAND()</f>
        <v>0.820095712296117</v>
      </c>
      <c r="B525" s="1632">
        <f t="shared" ref="B525:B588" ca="1" si="17">IF(A525&lt;=(B$5-B$4)/(B$6-B$4),$B$4+SQRT(A525*(B$6-B$4)*(B$5-B$4)),B$6-SQRT((1-A525)*(B$6-B$4)*(-B$5+B$6)))</f>
        <v>1.5793122225654308</v>
      </c>
      <c r="C525" s="1594">
        <v>513</v>
      </c>
      <c r="D525" s="1665">
        <v>2719365.4824631587</v>
      </c>
    </row>
    <row r="526" spans="1:4" ht="16">
      <c r="A526" s="1632">
        <f t="shared" ca="1" si="16"/>
        <v>0.16678295003101951</v>
      </c>
      <c r="B526" s="1632">
        <f t="shared" ca="1" si="17"/>
        <v>0.97838078270364259</v>
      </c>
      <c r="C526" s="1594">
        <v>514</v>
      </c>
      <c r="D526" s="1665">
        <v>2719365.4824631587</v>
      </c>
    </row>
    <row r="527" spans="1:4" ht="16">
      <c r="A527" s="1632">
        <f t="shared" ca="1" si="16"/>
        <v>0.48878579476434514</v>
      </c>
      <c r="B527" s="1632">
        <f t="shared" ca="1" si="17"/>
        <v>1.2222757794784673</v>
      </c>
      <c r="C527" s="1594">
        <v>515</v>
      </c>
      <c r="D527" s="1665">
        <v>2719365.4824631587</v>
      </c>
    </row>
    <row r="528" spans="1:4" ht="16">
      <c r="A528" s="1632">
        <f t="shared" ca="1" si="16"/>
        <v>5.8161590310114142E-2</v>
      </c>
      <c r="B528" s="1632">
        <f t="shared" ca="1" si="17"/>
        <v>0.87667642024439796</v>
      </c>
      <c r="C528" s="1594">
        <v>516</v>
      </c>
      <c r="D528" s="1665">
        <v>2719365.4824631587</v>
      </c>
    </row>
    <row r="529" spans="1:4" ht="16">
      <c r="A529" s="1632">
        <f t="shared" ca="1" si="16"/>
        <v>0.17836202993760242</v>
      </c>
      <c r="B529" s="1632">
        <f t="shared" ca="1" si="17"/>
        <v>0.98685816100314805</v>
      </c>
      <c r="C529" s="1594">
        <v>517</v>
      </c>
      <c r="D529" s="1665">
        <v>2719365.4824631587</v>
      </c>
    </row>
    <row r="530" spans="1:4" ht="16">
      <c r="A530" s="1632">
        <f t="shared" ca="1" si="16"/>
        <v>0.10054798587000024</v>
      </c>
      <c r="B530" s="1632">
        <f t="shared" ca="1" si="17"/>
        <v>0.92285408985373651</v>
      </c>
      <c r="C530" s="1594">
        <v>518</v>
      </c>
      <c r="D530" s="1665">
        <v>2719365.4824631587</v>
      </c>
    </row>
    <row r="531" spans="1:4" ht="16">
      <c r="A531" s="1632">
        <f t="shared" ca="1" si="16"/>
        <v>0.64666707290483594</v>
      </c>
      <c r="B531" s="1632">
        <f t="shared" ca="1" si="17"/>
        <v>1.3702927154451503</v>
      </c>
      <c r="C531" s="1594">
        <v>519</v>
      </c>
      <c r="D531" s="1665">
        <v>2719365.4824631587</v>
      </c>
    </row>
    <row r="532" spans="1:4" ht="16">
      <c r="A532" s="1632">
        <f t="shared" ca="1" si="16"/>
        <v>9.9753771418126469E-2</v>
      </c>
      <c r="B532" s="1632">
        <f t="shared" ca="1" si="17"/>
        <v>0.92209091609851046</v>
      </c>
      <c r="C532" s="1594">
        <v>520</v>
      </c>
      <c r="D532" s="1665">
        <v>2719365.4824631587</v>
      </c>
    </row>
    <row r="533" spans="1:4" ht="16">
      <c r="A533" s="1632">
        <f t="shared" ca="1" si="16"/>
        <v>0.23577910002025704</v>
      </c>
      <c r="B533" s="1632">
        <f t="shared" ca="1" si="17"/>
        <v>1.0268360347693961</v>
      </c>
      <c r="C533" s="1594">
        <v>521</v>
      </c>
      <c r="D533" s="1665">
        <v>2719365.4824631587</v>
      </c>
    </row>
    <row r="534" spans="1:4" ht="16">
      <c r="A534" s="1632">
        <f t="shared" ca="1" si="16"/>
        <v>0.37044943782920736</v>
      </c>
      <c r="B534" s="1632">
        <f t="shared" ca="1" si="17"/>
        <v>1.1259708951004677</v>
      </c>
      <c r="C534" s="1594">
        <v>522</v>
      </c>
      <c r="D534" s="1665">
        <v>2719365.4824631587</v>
      </c>
    </row>
    <row r="535" spans="1:4" ht="16">
      <c r="A535" s="1632">
        <f t="shared" ca="1" si="16"/>
        <v>0.98334112541161545</v>
      </c>
      <c r="B535" s="1632">
        <f t="shared" ca="1" si="17"/>
        <v>1.9415546655634963</v>
      </c>
      <c r="C535" s="1594">
        <v>523</v>
      </c>
      <c r="D535" s="1665">
        <v>2719365.4824631587</v>
      </c>
    </row>
    <row r="536" spans="1:4" ht="16">
      <c r="A536" s="1632">
        <f t="shared" ca="1" si="16"/>
        <v>0.62719075594692175</v>
      </c>
      <c r="B536" s="1632">
        <f t="shared" ca="1" si="17"/>
        <v>1.3504511151445899</v>
      </c>
      <c r="C536" s="1594">
        <v>524</v>
      </c>
      <c r="D536" s="1665">
        <v>2719365.4824631587</v>
      </c>
    </row>
    <row r="537" spans="1:4" ht="16">
      <c r="A537" s="1632">
        <f t="shared" ca="1" si="16"/>
        <v>0.85485695843319864</v>
      </c>
      <c r="B537" s="1632">
        <f t="shared" ca="1" si="17"/>
        <v>1.6323136054564238</v>
      </c>
      <c r="C537" s="1594">
        <v>525</v>
      </c>
      <c r="D537" s="1665">
        <v>2719365.4824631587</v>
      </c>
    </row>
    <row r="538" spans="1:4" ht="16">
      <c r="A538" s="1632">
        <f t="shared" ca="1" si="16"/>
        <v>0.63312469605608734</v>
      </c>
      <c r="B538" s="1632">
        <f t="shared" ca="1" si="17"/>
        <v>1.3564402626261449</v>
      </c>
      <c r="C538" s="1594">
        <v>526</v>
      </c>
      <c r="D538" s="1665">
        <v>2719365.4824631587</v>
      </c>
    </row>
    <row r="539" spans="1:4" ht="16">
      <c r="A539" s="1632">
        <f t="shared" ca="1" si="16"/>
        <v>0.54699751190425183</v>
      </c>
      <c r="B539" s="1632">
        <f t="shared" ca="1" si="17"/>
        <v>1.2737586614310004</v>
      </c>
      <c r="C539" s="1594">
        <v>527</v>
      </c>
      <c r="D539" s="1665">
        <v>2719365.4824631587</v>
      </c>
    </row>
    <row r="540" spans="1:4" ht="16">
      <c r="A540" s="1632">
        <f t="shared" ca="1" si="16"/>
        <v>0.63523170485207503</v>
      </c>
      <c r="B540" s="1632">
        <f t="shared" ca="1" si="17"/>
        <v>1.3585785134028534</v>
      </c>
      <c r="C540" s="1594">
        <v>528</v>
      </c>
      <c r="D540" s="1665">
        <v>2719365.4824631587</v>
      </c>
    </row>
    <row r="541" spans="1:4" ht="16">
      <c r="A541" s="1632">
        <f t="shared" ca="1" si="16"/>
        <v>2.2741700024399347E-2</v>
      </c>
      <c r="B541" s="1632">
        <f t="shared" ca="1" si="17"/>
        <v>0.8217178000119133</v>
      </c>
      <c r="C541" s="1594">
        <v>529</v>
      </c>
      <c r="D541" s="1665">
        <v>2719365.4824631587</v>
      </c>
    </row>
    <row r="542" spans="1:4" ht="16">
      <c r="A542" s="1632">
        <f t="shared" ca="1" si="16"/>
        <v>0.37855389088953084</v>
      </c>
      <c r="B542" s="1632">
        <f t="shared" ca="1" si="17"/>
        <v>1.1322607342731841</v>
      </c>
      <c r="C542" s="1594">
        <v>530</v>
      </c>
      <c r="D542" s="1665">
        <v>2719365.4824631587</v>
      </c>
    </row>
    <row r="543" spans="1:4" ht="16">
      <c r="A543" s="1632">
        <f t="shared" ca="1" si="16"/>
        <v>2.3474030598990558E-2</v>
      </c>
      <c r="B543" s="1632">
        <f t="shared" ca="1" si="17"/>
        <v>0.82318285206284791</v>
      </c>
      <c r="C543" s="1594">
        <v>531</v>
      </c>
      <c r="D543" s="1665">
        <v>2719365.4824631587</v>
      </c>
    </row>
    <row r="544" spans="1:4" ht="16">
      <c r="A544" s="1632">
        <f t="shared" ca="1" si="16"/>
        <v>0.84308227722087925</v>
      </c>
      <c r="B544" s="1632">
        <f t="shared" ca="1" si="17"/>
        <v>1.6137130392164161</v>
      </c>
      <c r="C544" s="1594">
        <v>532</v>
      </c>
      <c r="D544" s="1665">
        <v>2719365.4824631587</v>
      </c>
    </row>
    <row r="545" spans="1:4" ht="16">
      <c r="A545" s="1632">
        <f t="shared" ca="1" si="16"/>
        <v>0.77757090921322081</v>
      </c>
      <c r="B545" s="1632">
        <f t="shared" ca="1" si="17"/>
        <v>1.521034854403414</v>
      </c>
      <c r="C545" s="1594">
        <v>533</v>
      </c>
      <c r="D545" s="1665">
        <v>2719365.4824631587</v>
      </c>
    </row>
    <row r="546" spans="1:4" ht="16">
      <c r="A546" s="1632">
        <f t="shared" ca="1" si="16"/>
        <v>8.9101928988470691E-2</v>
      </c>
      <c r="B546" s="1632">
        <f t="shared" ca="1" si="17"/>
        <v>0.91154559629149723</v>
      </c>
      <c r="C546" s="1594">
        <v>534</v>
      </c>
      <c r="D546" s="1665">
        <v>2719365.4824631587</v>
      </c>
    </row>
    <row r="547" spans="1:4" ht="16">
      <c r="A547" s="1632">
        <f t="shared" ca="1" si="16"/>
        <v>0.47391010106998388</v>
      </c>
      <c r="B547" s="1632">
        <f t="shared" ca="1" si="17"/>
        <v>1.2095970138821781</v>
      </c>
      <c r="C547" s="1594">
        <v>535</v>
      </c>
      <c r="D547" s="1665">
        <v>2719365.4824631587</v>
      </c>
    </row>
    <row r="548" spans="1:4" ht="16">
      <c r="A548" s="1632">
        <f t="shared" ca="1" si="16"/>
        <v>8.3532878632992968E-2</v>
      </c>
      <c r="B548" s="1632">
        <f t="shared" ca="1" si="17"/>
        <v>0.90578057858120764</v>
      </c>
      <c r="C548" s="1594">
        <v>536</v>
      </c>
      <c r="D548" s="1665">
        <v>2719365.4824631587</v>
      </c>
    </row>
    <row r="549" spans="1:4" ht="16">
      <c r="A549" s="1632">
        <f t="shared" ca="1" si="16"/>
        <v>0.25957605041576826</v>
      </c>
      <c r="B549" s="1632">
        <f t="shared" ca="1" si="17"/>
        <v>1.0436767104605535</v>
      </c>
      <c r="C549" s="1594">
        <v>537</v>
      </c>
      <c r="D549" s="1665">
        <v>2719365.4824631587</v>
      </c>
    </row>
    <row r="550" spans="1:4" ht="16">
      <c r="A550" s="1632">
        <f t="shared" ca="1" si="16"/>
        <v>0.65808248790628843</v>
      </c>
      <c r="B550" s="1632">
        <f t="shared" ca="1" si="17"/>
        <v>1.3821771174410618</v>
      </c>
      <c r="C550" s="1594">
        <v>538</v>
      </c>
      <c r="D550" s="1665">
        <v>2719365.4824631587</v>
      </c>
    </row>
    <row r="551" spans="1:4" ht="16">
      <c r="A551" s="1632">
        <f t="shared" ca="1" si="16"/>
        <v>0.29251154435834159</v>
      </c>
      <c r="B551" s="1632">
        <f t="shared" ca="1" si="17"/>
        <v>1.0674376035067037</v>
      </c>
      <c r="C551" s="1594">
        <v>539</v>
      </c>
      <c r="D551" s="1665">
        <v>2719365.4824631587</v>
      </c>
    </row>
    <row r="552" spans="1:4" ht="16">
      <c r="A552" s="1632">
        <f t="shared" ca="1" si="16"/>
        <v>0.74369372224140851</v>
      </c>
      <c r="B552" s="1632">
        <f t="shared" ca="1" si="17"/>
        <v>1.4785069907213781</v>
      </c>
      <c r="C552" s="1594">
        <v>540</v>
      </c>
      <c r="D552" s="1665">
        <v>2719365.4824631587</v>
      </c>
    </row>
    <row r="553" spans="1:4" ht="16">
      <c r="A553" s="1632">
        <f t="shared" ca="1" si="16"/>
        <v>0.37940219446001133</v>
      </c>
      <c r="B553" s="1632">
        <f t="shared" ca="1" si="17"/>
        <v>1.1329214649529424</v>
      </c>
      <c r="C553" s="1594">
        <v>541</v>
      </c>
      <c r="D553" s="1665">
        <v>2719365.4824631587</v>
      </c>
    </row>
    <row r="554" spans="1:4" ht="16">
      <c r="A554" s="1632">
        <f t="shared" ca="1" si="16"/>
        <v>0.87327129842463469</v>
      </c>
      <c r="B554" s="1632">
        <f t="shared" ca="1" si="17"/>
        <v>1.6629872390031666</v>
      </c>
      <c r="C554" s="1594">
        <v>542</v>
      </c>
      <c r="D554" s="1665">
        <v>2719365.4824631587</v>
      </c>
    </row>
    <row r="555" spans="1:4" ht="16">
      <c r="A555" s="1632">
        <f t="shared" ca="1" si="16"/>
        <v>0.53581688535958849</v>
      </c>
      <c r="B555" s="1632">
        <f t="shared" ca="1" si="17"/>
        <v>1.2636245138915774</v>
      </c>
      <c r="C555" s="1594">
        <v>543</v>
      </c>
      <c r="D555" s="1665">
        <v>2719365.4824631587</v>
      </c>
    </row>
    <row r="556" spans="1:4" ht="16">
      <c r="A556" s="1632">
        <f t="shared" ca="1" si="16"/>
        <v>0.6328782595922724</v>
      </c>
      <c r="B556" s="1632">
        <f t="shared" ca="1" si="17"/>
        <v>1.3561905736047404</v>
      </c>
      <c r="C556" s="1594">
        <v>544</v>
      </c>
      <c r="D556" s="1665">
        <v>2719365.4824631587</v>
      </c>
    </row>
    <row r="557" spans="1:4" ht="16">
      <c r="A557" s="1632">
        <f t="shared" ca="1" si="16"/>
        <v>0.15801576011054175</v>
      </c>
      <c r="B557" s="1632">
        <f t="shared" ca="1" si="17"/>
        <v>0.97176440942555908</v>
      </c>
      <c r="C557" s="1594">
        <v>545</v>
      </c>
      <c r="D557" s="1665">
        <v>2719365.4824631587</v>
      </c>
    </row>
    <row r="558" spans="1:4" ht="16">
      <c r="A558" s="1632">
        <f t="shared" ca="1" si="16"/>
        <v>0.1539751805057078</v>
      </c>
      <c r="B558" s="1632">
        <f t="shared" ca="1" si="17"/>
        <v>0.96865334539675185</v>
      </c>
      <c r="C558" s="1594">
        <v>546</v>
      </c>
      <c r="D558" s="1665">
        <v>2719365.4824631587</v>
      </c>
    </row>
    <row r="559" spans="1:4" ht="16">
      <c r="A559" s="1632">
        <f t="shared" ca="1" si="16"/>
        <v>0.62141879482397699</v>
      </c>
      <c r="B559" s="1632">
        <f t="shared" ca="1" si="17"/>
        <v>1.3446710145901544</v>
      </c>
      <c r="C559" s="1594">
        <v>547</v>
      </c>
      <c r="D559" s="1665">
        <v>2719365.4824631587</v>
      </c>
    </row>
    <row r="560" spans="1:4" ht="16">
      <c r="A560" s="1632">
        <f t="shared" ca="1" si="16"/>
        <v>0.78192686807738787</v>
      </c>
      <c r="B560" s="1632">
        <f t="shared" ca="1" si="17"/>
        <v>1.526731991292575</v>
      </c>
      <c r="C560" s="1594">
        <v>548</v>
      </c>
      <c r="D560" s="1665">
        <v>2719365.4824631587</v>
      </c>
    </row>
    <row r="561" spans="1:4" ht="16">
      <c r="A561" s="1632">
        <f t="shared" ca="1" si="16"/>
        <v>8.3560974475147431E-2</v>
      </c>
      <c r="B561" s="1632">
        <f t="shared" ca="1" si="17"/>
        <v>0.90581013753011241</v>
      </c>
      <c r="C561" s="1594">
        <v>549</v>
      </c>
      <c r="D561" s="1665">
        <v>2719365.4824631587</v>
      </c>
    </row>
    <row r="562" spans="1:4" ht="16">
      <c r="A562" s="1632">
        <f t="shared" ca="1" si="16"/>
        <v>0.12819099222608199</v>
      </c>
      <c r="B562" s="1632">
        <f t="shared" ca="1" si="17"/>
        <v>0.94775639605859507</v>
      </c>
      <c r="C562" s="1594">
        <v>550</v>
      </c>
      <c r="D562" s="1665">
        <v>2719365.4824631587</v>
      </c>
    </row>
    <row r="563" spans="1:4" ht="16">
      <c r="A563" s="1632">
        <f t="shared" ca="1" si="16"/>
        <v>5.3745119428775912E-2</v>
      </c>
      <c r="B563" s="1632">
        <f t="shared" ca="1" si="17"/>
        <v>0.87099758748540412</v>
      </c>
      <c r="C563" s="1594">
        <v>551</v>
      </c>
      <c r="D563" s="1665">
        <v>2719365.4824631587</v>
      </c>
    </row>
    <row r="564" spans="1:4" ht="16">
      <c r="A564" s="1632">
        <f t="shared" ca="1" si="16"/>
        <v>0.37584460012411136</v>
      </c>
      <c r="B564" s="1632">
        <f t="shared" ca="1" si="17"/>
        <v>1.1301535236889479</v>
      </c>
      <c r="C564" s="1594">
        <v>552</v>
      </c>
      <c r="D564" s="1665">
        <v>2719365.4824631587</v>
      </c>
    </row>
    <row r="565" spans="1:4" ht="16">
      <c r="A565" s="1632">
        <f t="shared" ca="1" si="16"/>
        <v>0.6462291066646132</v>
      </c>
      <c r="B565" s="1632">
        <f t="shared" ca="1" si="17"/>
        <v>1.3698406090062063</v>
      </c>
      <c r="C565" s="1594">
        <v>553</v>
      </c>
      <c r="D565" s="1665">
        <v>2719365.4824631587</v>
      </c>
    </row>
    <row r="566" spans="1:4" ht="16">
      <c r="A566" s="1632">
        <f t="shared" ca="1" si="16"/>
        <v>0.17708609256783381</v>
      </c>
      <c r="B566" s="1632">
        <f t="shared" ca="1" si="17"/>
        <v>0.98593777689282547</v>
      </c>
      <c r="C566" s="1594">
        <v>554</v>
      </c>
      <c r="D566" s="1665">
        <v>2719365.4824631587</v>
      </c>
    </row>
    <row r="567" spans="1:4" ht="16">
      <c r="A567" s="1632">
        <f t="shared" ca="1" si="16"/>
        <v>0.11864059166656582</v>
      </c>
      <c r="B567" s="1632">
        <f t="shared" ca="1" si="17"/>
        <v>0.93948783940234504</v>
      </c>
      <c r="C567" s="1594">
        <v>555</v>
      </c>
      <c r="D567" s="1665">
        <v>2719365.4824631587</v>
      </c>
    </row>
    <row r="568" spans="1:4" ht="16">
      <c r="A568" s="1632">
        <f t="shared" ca="1" si="16"/>
        <v>0.6476789684138492</v>
      </c>
      <c r="B568" s="1632">
        <f t="shared" ca="1" si="17"/>
        <v>1.3713383538292074</v>
      </c>
      <c r="C568" s="1594">
        <v>556</v>
      </c>
      <c r="D568" s="1665">
        <v>2719365.4824631587</v>
      </c>
    </row>
    <row r="569" spans="1:4" ht="16">
      <c r="A569" s="1632">
        <f t="shared" ca="1" si="16"/>
        <v>0.54032293045417257</v>
      </c>
      <c r="B569" s="1632">
        <f t="shared" ca="1" si="17"/>
        <v>1.2676939602492592</v>
      </c>
      <c r="C569" s="1594">
        <v>557</v>
      </c>
      <c r="D569" s="1665">
        <v>2719365.4824631587</v>
      </c>
    </row>
    <row r="570" spans="1:4" ht="16">
      <c r="A570" s="1632">
        <f t="shared" ca="1" si="16"/>
        <v>0.95672113930039404</v>
      </c>
      <c r="B570" s="1632">
        <f t="shared" ca="1" si="17"/>
        <v>1.8446154995417574</v>
      </c>
      <c r="C570" s="1594">
        <v>558</v>
      </c>
      <c r="D570" s="1665">
        <v>2719365.4824631587</v>
      </c>
    </row>
    <row r="571" spans="1:4" ht="16">
      <c r="A571" s="1632">
        <f t="shared" ca="1" si="16"/>
        <v>0.64837865981235798</v>
      </c>
      <c r="B571" s="1632">
        <f t="shared" ca="1" si="17"/>
        <v>1.3720622556407887</v>
      </c>
      <c r="C571" s="1594">
        <v>559</v>
      </c>
      <c r="D571" s="1665">
        <v>2719365.4824631587</v>
      </c>
    </row>
    <row r="572" spans="1:4" ht="16">
      <c r="A572" s="1632">
        <f t="shared" ca="1" si="16"/>
        <v>0.59445577811358774</v>
      </c>
      <c r="B572" s="1632">
        <f t="shared" ca="1" si="17"/>
        <v>1.3182358780406822</v>
      </c>
      <c r="C572" s="1594">
        <v>560</v>
      </c>
      <c r="D572" s="1665">
        <v>2719365.4824631587</v>
      </c>
    </row>
    <row r="573" spans="1:4" ht="16">
      <c r="A573" s="1632">
        <f t="shared" ca="1" si="16"/>
        <v>0.67228406615126246</v>
      </c>
      <c r="B573" s="1632">
        <f t="shared" ca="1" si="17"/>
        <v>1.3972426362463022</v>
      </c>
      <c r="C573" s="1594">
        <v>561</v>
      </c>
      <c r="D573" s="1665">
        <v>2719365.4824631587</v>
      </c>
    </row>
    <row r="574" spans="1:4" ht="16">
      <c r="A574" s="1632">
        <f t="shared" ca="1" si="16"/>
        <v>0.12375630834972517</v>
      </c>
      <c r="B574" s="1632">
        <f t="shared" ca="1" si="17"/>
        <v>0.94395667425570839</v>
      </c>
      <c r="C574" s="1594">
        <v>562</v>
      </c>
      <c r="D574" s="1665">
        <v>2719365.4824631587</v>
      </c>
    </row>
    <row r="575" spans="1:4" ht="16">
      <c r="A575" s="1632">
        <f t="shared" ca="1" si="16"/>
        <v>0.21039924829988921</v>
      </c>
      <c r="B575" s="1632">
        <f t="shared" ca="1" si="17"/>
        <v>1.0091616376327486</v>
      </c>
      <c r="C575" s="1594">
        <v>563</v>
      </c>
      <c r="D575" s="1665">
        <v>2719365.4824631587</v>
      </c>
    </row>
    <row r="576" spans="1:4" ht="16">
      <c r="A576" s="1632">
        <f t="shared" ca="1" si="16"/>
        <v>8.3615891721793068E-2</v>
      </c>
      <c r="B576" s="1632">
        <f t="shared" ca="1" si="17"/>
        <v>0.90586790027714337</v>
      </c>
      <c r="C576" s="1594">
        <v>564</v>
      </c>
      <c r="D576" s="1665">
        <v>2719365.4824631587</v>
      </c>
    </row>
    <row r="577" spans="1:4" ht="16">
      <c r="A577" s="1632">
        <f t="shared" ca="1" si="16"/>
        <v>0.37305974628109495</v>
      </c>
      <c r="B577" s="1632">
        <f t="shared" ca="1" si="17"/>
        <v>1.1279923033461157</v>
      </c>
      <c r="C577" s="1594">
        <v>565</v>
      </c>
      <c r="D577" s="1665">
        <v>2719365.4824631587</v>
      </c>
    </row>
    <row r="578" spans="1:4" ht="16">
      <c r="A578" s="1632">
        <f t="shared" ca="1" si="16"/>
        <v>0.19525115617921918</v>
      </c>
      <c r="B578" s="1632">
        <f t="shared" ca="1" si="17"/>
        <v>0.99874412118350264</v>
      </c>
      <c r="C578" s="1594">
        <v>566</v>
      </c>
      <c r="D578" s="1665">
        <v>2719365.4824631587</v>
      </c>
    </row>
    <row r="579" spans="1:4" ht="16">
      <c r="A579" s="1632">
        <f t="shared" ca="1" si="16"/>
        <v>0.22799334207105759</v>
      </c>
      <c r="B579" s="1632">
        <f t="shared" ca="1" si="17"/>
        <v>1.0213832777585377</v>
      </c>
      <c r="C579" s="1594">
        <v>567</v>
      </c>
      <c r="D579" s="1665">
        <v>2719365.4824631587</v>
      </c>
    </row>
    <row r="580" spans="1:4" ht="16">
      <c r="A580" s="1632">
        <f t="shared" ca="1" si="16"/>
        <v>0.18375511502406383</v>
      </c>
      <c r="B580" s="1632">
        <f t="shared" ca="1" si="17"/>
        <v>0.99071251801054971</v>
      </c>
      <c r="C580" s="1594">
        <v>568</v>
      </c>
      <c r="D580" s="1665">
        <v>2719365.4824631587</v>
      </c>
    </row>
    <row r="581" spans="1:4" ht="16">
      <c r="A581" s="1632">
        <f t="shared" ca="1" si="16"/>
        <v>0.57716456088027912</v>
      </c>
      <c r="B581" s="1632">
        <f t="shared" ca="1" si="17"/>
        <v>1.3017437712404498</v>
      </c>
      <c r="C581" s="1594">
        <v>569</v>
      </c>
      <c r="D581" s="1665">
        <v>2719365.4824631587</v>
      </c>
    </row>
    <row r="582" spans="1:4" ht="16">
      <c r="A582" s="1632">
        <f t="shared" ca="1" si="16"/>
        <v>0.36936928797529378</v>
      </c>
      <c r="B582" s="1632">
        <f t="shared" ca="1" si="17"/>
        <v>1.1251356591703479</v>
      </c>
      <c r="C582" s="1594">
        <v>570</v>
      </c>
      <c r="D582" s="1665">
        <v>2719365.4824631587</v>
      </c>
    </row>
    <row r="583" spans="1:4" ht="16">
      <c r="A583" s="1632">
        <f t="shared" ca="1" si="16"/>
        <v>0.70715626542829368</v>
      </c>
      <c r="B583" s="1632">
        <f t="shared" ca="1" si="17"/>
        <v>1.4356841805288982</v>
      </c>
      <c r="C583" s="1594">
        <v>571</v>
      </c>
      <c r="D583" s="1665">
        <v>2719365.4824631587</v>
      </c>
    </row>
    <row r="584" spans="1:4" ht="16">
      <c r="A584" s="1632">
        <f t="shared" ca="1" si="16"/>
        <v>0.41871155592094866</v>
      </c>
      <c r="B584" s="1632">
        <f t="shared" ca="1" si="17"/>
        <v>1.1640503831791316</v>
      </c>
      <c r="C584" s="1594">
        <v>572</v>
      </c>
      <c r="D584" s="1665">
        <v>2719365.4824631587</v>
      </c>
    </row>
    <row r="585" spans="1:4" ht="16">
      <c r="A585" s="1632">
        <f t="shared" ca="1" si="16"/>
        <v>0.34041317571385232</v>
      </c>
      <c r="B585" s="1632">
        <f t="shared" ca="1" si="17"/>
        <v>1.1030058454538341</v>
      </c>
      <c r="C585" s="1594">
        <v>573</v>
      </c>
      <c r="D585" s="1665">
        <v>2719365.4824631587</v>
      </c>
    </row>
    <row r="586" spans="1:4" ht="16">
      <c r="A586" s="1632">
        <f t="shared" ca="1" si="16"/>
        <v>0.83112523341300903</v>
      </c>
      <c r="B586" s="1632">
        <f t="shared" ca="1" si="17"/>
        <v>1.5955257457049017</v>
      </c>
      <c r="C586" s="1594">
        <v>574</v>
      </c>
      <c r="D586" s="1665">
        <v>2719365.4824631587</v>
      </c>
    </row>
    <row r="587" spans="1:4" ht="16">
      <c r="A587" s="1632">
        <f t="shared" ca="1" si="16"/>
        <v>0.77683213267750795</v>
      </c>
      <c r="B587" s="1632">
        <f t="shared" ca="1" si="17"/>
        <v>1.5200741633148291</v>
      </c>
      <c r="C587" s="1594">
        <v>575</v>
      </c>
      <c r="D587" s="1665">
        <v>2719365.4824631587</v>
      </c>
    </row>
    <row r="588" spans="1:4" ht="16">
      <c r="A588" s="1632">
        <f t="shared" ca="1" si="16"/>
        <v>0.62936451709828456</v>
      </c>
      <c r="B588" s="1632">
        <f t="shared" ca="1" si="17"/>
        <v>1.3526395295890441</v>
      </c>
      <c r="C588" s="1594">
        <v>576</v>
      </c>
      <c r="D588" s="1665">
        <v>2719365.4824631587</v>
      </c>
    </row>
    <row r="589" spans="1:4" ht="16">
      <c r="A589" s="1632">
        <f t="shared" ref="A589:A652" ca="1" si="18">RAND()</f>
        <v>0.3524210454685387</v>
      </c>
      <c r="B589" s="1632">
        <f t="shared" ref="B589:B652" ca="1" si="19">IF(A589&lt;=(B$5-B$4)/(B$6-B$4),$B$4+SQRT(A589*(B$6-B$4)*(B$5-B$4)),B$6-SQRT((1-A589)*(B$6-B$4)*(-B$5+B$6)))</f>
        <v>1.1121227381506789</v>
      </c>
      <c r="C589" s="1594">
        <v>577</v>
      </c>
      <c r="D589" s="1665">
        <v>2719365.4824631587</v>
      </c>
    </row>
    <row r="590" spans="1:4" ht="16">
      <c r="A590" s="1632">
        <f t="shared" ca="1" si="18"/>
        <v>2.853061349675079E-2</v>
      </c>
      <c r="B590" s="1632">
        <f t="shared" ca="1" si="19"/>
        <v>0.83273010236755396</v>
      </c>
      <c r="C590" s="1594">
        <v>578</v>
      </c>
      <c r="D590" s="1665">
        <v>2719365.4824631587</v>
      </c>
    </row>
    <row r="591" spans="1:4" ht="16">
      <c r="A591" s="1632">
        <f t="shared" ca="1" si="18"/>
        <v>0.68378382834876894</v>
      </c>
      <c r="B591" s="1632">
        <f t="shared" ca="1" si="19"/>
        <v>1.4096828477587962</v>
      </c>
      <c r="C591" s="1594">
        <v>579</v>
      </c>
      <c r="D591" s="1665">
        <v>2719365.4824631587</v>
      </c>
    </row>
    <row r="592" spans="1:4" ht="16">
      <c r="A592" s="1632">
        <f t="shared" ca="1" si="18"/>
        <v>0.43032604128093155</v>
      </c>
      <c r="B592" s="1632">
        <f t="shared" ca="1" si="19"/>
        <v>1.1734479745909374</v>
      </c>
      <c r="C592" s="1594">
        <v>580</v>
      </c>
      <c r="D592" s="1665">
        <v>2719365.4824631587</v>
      </c>
    </row>
    <row r="593" spans="1:4" ht="16">
      <c r="A593" s="1632">
        <f t="shared" ca="1" si="18"/>
        <v>0.30567883391688222</v>
      </c>
      <c r="B593" s="1632">
        <f t="shared" ca="1" si="19"/>
        <v>1.0770914032586985</v>
      </c>
      <c r="C593" s="1594">
        <v>581</v>
      </c>
      <c r="D593" s="1665">
        <v>2719365.4824631587</v>
      </c>
    </row>
    <row r="594" spans="1:4" ht="16">
      <c r="A594" s="1632">
        <f t="shared" ca="1" si="18"/>
        <v>0.8103983092256769</v>
      </c>
      <c r="B594" s="1632">
        <f t="shared" ca="1" si="19"/>
        <v>1.5654630527298372</v>
      </c>
      <c r="C594" s="1594">
        <v>582</v>
      </c>
      <c r="D594" s="1665">
        <v>2719365.4824631587</v>
      </c>
    </row>
    <row r="595" spans="1:4" ht="16">
      <c r="A595" s="1632">
        <f t="shared" ca="1" si="18"/>
        <v>5.7838449215067755E-2</v>
      </c>
      <c r="B595" s="1632">
        <f t="shared" ca="1" si="19"/>
        <v>0.87626839154326386</v>
      </c>
      <c r="C595" s="1594">
        <v>583</v>
      </c>
      <c r="D595" s="1665">
        <v>2719365.4824631587</v>
      </c>
    </row>
    <row r="596" spans="1:4" ht="16">
      <c r="A596" s="1632">
        <f t="shared" ca="1" si="18"/>
        <v>8.024489411399105E-2</v>
      </c>
      <c r="B596" s="1632">
        <f t="shared" ca="1" si="19"/>
        <v>0.90228634981554778</v>
      </c>
      <c r="C596" s="1594">
        <v>584</v>
      </c>
      <c r="D596" s="1665">
        <v>2719365.4824631587</v>
      </c>
    </row>
    <row r="597" spans="1:4" ht="16">
      <c r="A597" s="1632">
        <f t="shared" ca="1" si="18"/>
        <v>0.56695791629227588</v>
      </c>
      <c r="B597" s="1632">
        <f t="shared" ca="1" si="19"/>
        <v>1.2921668364398871</v>
      </c>
      <c r="C597" s="1594">
        <v>585</v>
      </c>
      <c r="D597" s="1665">
        <v>2719365.4824631587</v>
      </c>
    </row>
    <row r="598" spans="1:4" ht="16">
      <c r="A598" s="1632">
        <f t="shared" ca="1" si="18"/>
        <v>0.81094436147108384</v>
      </c>
      <c r="B598" s="1632">
        <f t="shared" ca="1" si="19"/>
        <v>1.5662333400604</v>
      </c>
      <c r="C598" s="1594">
        <v>586</v>
      </c>
      <c r="D598" s="1665">
        <v>2719365.4824631587</v>
      </c>
    </row>
    <row r="599" spans="1:4" ht="16">
      <c r="A599" s="1632">
        <f t="shared" ca="1" si="18"/>
        <v>0.33559162929276709</v>
      </c>
      <c r="B599" s="1632">
        <f t="shared" ca="1" si="19"/>
        <v>1.0993684920732307</v>
      </c>
      <c r="C599" s="1594">
        <v>587</v>
      </c>
      <c r="D599" s="1665">
        <v>2719365.4824631587</v>
      </c>
    </row>
    <row r="600" spans="1:4" ht="16">
      <c r="A600" s="1632">
        <f t="shared" ca="1" si="18"/>
        <v>0.98306210129480787</v>
      </c>
      <c r="B600" s="1632">
        <f t="shared" ca="1" si="19"/>
        <v>1.9402332533074405</v>
      </c>
      <c r="C600" s="1594">
        <v>588</v>
      </c>
      <c r="D600" s="1665">
        <v>2719365.4824631587</v>
      </c>
    </row>
    <row r="601" spans="1:4" ht="16">
      <c r="A601" s="1632">
        <f t="shared" ca="1" si="18"/>
        <v>0.71798690843010005</v>
      </c>
      <c r="B601" s="1632">
        <f t="shared" ca="1" si="19"/>
        <v>1.4480845691381135</v>
      </c>
      <c r="C601" s="1594">
        <v>589</v>
      </c>
      <c r="D601" s="1665">
        <v>2719365.4824631587</v>
      </c>
    </row>
    <row r="602" spans="1:4" ht="16">
      <c r="A602" s="1632">
        <f t="shared" ca="1" si="18"/>
        <v>0.55435248185790031</v>
      </c>
      <c r="B602" s="1632">
        <f t="shared" ca="1" si="19"/>
        <v>1.280493557169839</v>
      </c>
      <c r="C602" s="1594">
        <v>590</v>
      </c>
      <c r="D602" s="1665">
        <v>2719365.4824631587</v>
      </c>
    </row>
    <row r="603" spans="1:4" ht="16">
      <c r="A603" s="1632">
        <f t="shared" ca="1" si="18"/>
        <v>0.44785447520790489</v>
      </c>
      <c r="B603" s="1632">
        <f t="shared" ca="1" si="19"/>
        <v>1.187813996017431</v>
      </c>
      <c r="C603" s="1594">
        <v>591</v>
      </c>
      <c r="D603" s="1665">
        <v>2719365.4824631587</v>
      </c>
    </row>
    <row r="604" spans="1:4" ht="16">
      <c r="A604" s="1632">
        <f t="shared" ca="1" si="18"/>
        <v>0.87466968530982137</v>
      </c>
      <c r="B604" s="1632">
        <f t="shared" ca="1" si="19"/>
        <v>1.6654050342697246</v>
      </c>
      <c r="C604" s="1594">
        <v>592</v>
      </c>
      <c r="D604" s="1665">
        <v>2719365.4824631587</v>
      </c>
    </row>
    <row r="605" spans="1:4" ht="16">
      <c r="A605" s="1632">
        <f t="shared" ca="1" si="18"/>
        <v>0.8645028968027636</v>
      </c>
      <c r="B605" s="1632">
        <f t="shared" ca="1" si="19"/>
        <v>1.6481215489556564</v>
      </c>
      <c r="C605" s="1594">
        <v>593</v>
      </c>
      <c r="D605" s="1665">
        <v>2719365.4824631587</v>
      </c>
    </row>
    <row r="606" spans="1:4" ht="16">
      <c r="A606" s="1632">
        <f t="shared" ca="1" si="18"/>
        <v>0.61400744224174353</v>
      </c>
      <c r="B606" s="1632">
        <f t="shared" ca="1" si="19"/>
        <v>1.3373134427946876</v>
      </c>
      <c r="C606" s="1594">
        <v>594</v>
      </c>
      <c r="D606" s="1665">
        <v>2719365.4824631587</v>
      </c>
    </row>
    <row r="607" spans="1:4" ht="16">
      <c r="A607" s="1632">
        <f t="shared" ca="1" si="18"/>
        <v>0.63269788487526801</v>
      </c>
      <c r="B607" s="1632">
        <f t="shared" ca="1" si="19"/>
        <v>1.3560078713501258</v>
      </c>
      <c r="C607" s="1594">
        <v>595</v>
      </c>
      <c r="D607" s="1665">
        <v>2719365.4824631587</v>
      </c>
    </row>
    <row r="608" spans="1:4" ht="16">
      <c r="A608" s="1632">
        <f t="shared" ca="1" si="18"/>
        <v>0.48494258524152312</v>
      </c>
      <c r="B608" s="1632">
        <f t="shared" ca="1" si="19"/>
        <v>1.2189826766510068</v>
      </c>
      <c r="C608" s="1594">
        <v>596</v>
      </c>
      <c r="D608" s="1665">
        <v>2719365.4824631587</v>
      </c>
    </row>
    <row r="609" spans="1:4" ht="16">
      <c r="A609" s="1632">
        <f t="shared" ca="1" si="18"/>
        <v>0.37819439845403691</v>
      </c>
      <c r="B609" s="1632">
        <f t="shared" ca="1" si="19"/>
        <v>1.1319808671675098</v>
      </c>
      <c r="C609" s="1594">
        <v>597</v>
      </c>
      <c r="D609" s="1665">
        <v>2719365.4824631587</v>
      </c>
    </row>
    <row r="610" spans="1:4" ht="16">
      <c r="A610" s="1632">
        <f t="shared" ca="1" si="18"/>
        <v>0.77162411742852177</v>
      </c>
      <c r="B610" s="1632">
        <f t="shared" ca="1" si="19"/>
        <v>1.5133463926342756</v>
      </c>
      <c r="C610" s="1594">
        <v>598</v>
      </c>
      <c r="D610" s="1665">
        <v>2719365.4824631587</v>
      </c>
    </row>
    <row r="611" spans="1:4" ht="16">
      <c r="A611" s="1632">
        <f t="shared" ca="1" si="18"/>
        <v>0.69121180881709976</v>
      </c>
      <c r="B611" s="1632">
        <f t="shared" ca="1" si="19"/>
        <v>1.4178388723236783</v>
      </c>
      <c r="C611" s="1594">
        <v>599</v>
      </c>
      <c r="D611" s="1665">
        <v>2719365.4824631587</v>
      </c>
    </row>
    <row r="612" spans="1:4" ht="16">
      <c r="A612" s="1632">
        <f t="shared" ca="1" si="18"/>
        <v>0.52386611470267019</v>
      </c>
      <c r="B612" s="1632">
        <f t="shared" ca="1" si="19"/>
        <v>1.2529263519958398</v>
      </c>
      <c r="C612" s="1594">
        <v>600</v>
      </c>
      <c r="D612" s="1665">
        <v>2719365.4824631587</v>
      </c>
    </row>
    <row r="613" spans="1:4" ht="16">
      <c r="A613" s="1632">
        <f t="shared" ca="1" si="18"/>
        <v>0.2559046402523657</v>
      </c>
      <c r="B613" s="1632">
        <f t="shared" ca="1" si="19"/>
        <v>1.0410610465472125</v>
      </c>
      <c r="C613" s="1594">
        <v>601</v>
      </c>
      <c r="D613" s="1665">
        <v>2719365.4824631587</v>
      </c>
    </row>
    <row r="614" spans="1:4" ht="16">
      <c r="A614" s="1632">
        <f t="shared" ca="1" si="18"/>
        <v>0.13029669817578937</v>
      </c>
      <c r="B614" s="1632">
        <f t="shared" ca="1" si="19"/>
        <v>0.94953757914130443</v>
      </c>
      <c r="C614" s="1594">
        <v>602</v>
      </c>
      <c r="D614" s="1665">
        <v>2719365.4824631587</v>
      </c>
    </row>
    <row r="615" spans="1:4" ht="16">
      <c r="A615" s="1632">
        <f t="shared" ca="1" si="18"/>
        <v>0.67412359883013084</v>
      </c>
      <c r="B615" s="1632">
        <f t="shared" ca="1" si="19"/>
        <v>1.3992177680884077</v>
      </c>
      <c r="C615" s="1594">
        <v>603</v>
      </c>
      <c r="D615" s="1665">
        <v>2719365.4824631587</v>
      </c>
    </row>
    <row r="616" spans="1:4" ht="16">
      <c r="A616" s="1632">
        <f t="shared" ca="1" si="18"/>
        <v>0.49824182313782039</v>
      </c>
      <c r="B616" s="1632">
        <f t="shared" ca="1" si="19"/>
        <v>1.2304313871054771</v>
      </c>
      <c r="C616" s="1594">
        <v>604</v>
      </c>
      <c r="D616" s="1665">
        <v>2719365.4824631587</v>
      </c>
    </row>
    <row r="617" spans="1:4" ht="16">
      <c r="A617" s="1632">
        <f t="shared" ca="1" si="18"/>
        <v>4.0172361249795729E-2</v>
      </c>
      <c r="B617" s="1632">
        <f t="shared" ca="1" si="19"/>
        <v>0.85190060059860018</v>
      </c>
      <c r="C617" s="1594">
        <v>605</v>
      </c>
      <c r="D617" s="1665">
        <v>2719365.4824631587</v>
      </c>
    </row>
    <row r="618" spans="1:4" ht="16">
      <c r="A618" s="1632">
        <f t="shared" ca="1" si="18"/>
        <v>0.63552673391203751</v>
      </c>
      <c r="B618" s="1632">
        <f t="shared" ca="1" si="19"/>
        <v>1.3588784094397468</v>
      </c>
      <c r="C618" s="1594">
        <v>606</v>
      </c>
      <c r="D618" s="1665">
        <v>2719365.4824631587</v>
      </c>
    </row>
    <row r="619" spans="1:4" ht="16">
      <c r="A619" s="1632">
        <f t="shared" ca="1" si="18"/>
        <v>0.97133444771210031</v>
      </c>
      <c r="B619" s="1632">
        <f t="shared" ca="1" si="19"/>
        <v>1.8921563392887222</v>
      </c>
      <c r="C619" s="1594">
        <v>607</v>
      </c>
      <c r="D619" s="1665">
        <v>2719365.4824631587</v>
      </c>
    </row>
    <row r="620" spans="1:4" ht="16">
      <c r="A620" s="1632">
        <f t="shared" ca="1" si="18"/>
        <v>0.61185874478498559</v>
      </c>
      <c r="B620" s="1632">
        <f t="shared" ca="1" si="19"/>
        <v>1.3351935724583464</v>
      </c>
      <c r="C620" s="1594">
        <v>608</v>
      </c>
      <c r="D620" s="1665">
        <v>2719365.4824631587</v>
      </c>
    </row>
    <row r="621" spans="1:4" ht="16">
      <c r="A621" s="1632">
        <f t="shared" ca="1" si="18"/>
        <v>0.60683758252693676</v>
      </c>
      <c r="B621" s="1632">
        <f t="shared" ca="1" si="19"/>
        <v>1.330262536229458</v>
      </c>
      <c r="C621" s="1594">
        <v>609</v>
      </c>
      <c r="D621" s="1665">
        <v>2719365.4824631587</v>
      </c>
    </row>
    <row r="622" spans="1:4" ht="16">
      <c r="A622" s="1632">
        <f t="shared" ca="1" si="18"/>
        <v>0.90391173534149349</v>
      </c>
      <c r="B622" s="1632">
        <f t="shared" ca="1" si="19"/>
        <v>1.7194674588942895</v>
      </c>
      <c r="C622" s="1594">
        <v>610</v>
      </c>
      <c r="D622" s="1665">
        <v>2719365.4824631587</v>
      </c>
    </row>
    <row r="623" spans="1:4" ht="16">
      <c r="A623" s="1632">
        <f t="shared" ca="1" si="18"/>
        <v>0.26719715891598994</v>
      </c>
      <c r="B623" s="1632">
        <f t="shared" ca="1" si="19"/>
        <v>1.0491270859358857</v>
      </c>
      <c r="C623" s="1594">
        <v>611</v>
      </c>
      <c r="D623" s="1665">
        <v>2719365.4824631587</v>
      </c>
    </row>
    <row r="624" spans="1:4" ht="16">
      <c r="A624" s="1632">
        <f t="shared" ca="1" si="18"/>
        <v>0.42792552080428736</v>
      </c>
      <c r="B624" s="1632">
        <f t="shared" ca="1" si="19"/>
        <v>1.1714978512960033</v>
      </c>
      <c r="C624" s="1594">
        <v>612</v>
      </c>
      <c r="D624" s="1665">
        <v>2719365.4824631587</v>
      </c>
    </row>
    <row r="625" spans="1:4" ht="16">
      <c r="A625" s="1632">
        <f t="shared" ca="1" si="18"/>
        <v>0.13519712427708241</v>
      </c>
      <c r="B625" s="1632">
        <f t="shared" ca="1" si="19"/>
        <v>0.95362785217877666</v>
      </c>
      <c r="C625" s="1594">
        <v>613</v>
      </c>
      <c r="D625" s="1665">
        <v>2719365.4824631587</v>
      </c>
    </row>
    <row r="626" spans="1:4" ht="16">
      <c r="A626" s="1632">
        <f t="shared" ca="1" si="18"/>
        <v>0.11947554379942404</v>
      </c>
      <c r="B626" s="1632">
        <f t="shared" ca="1" si="19"/>
        <v>0.94022369907174341</v>
      </c>
      <c r="C626" s="1594">
        <v>614</v>
      </c>
      <c r="D626" s="1665">
        <v>2719365.4824631587</v>
      </c>
    </row>
    <row r="627" spans="1:4" ht="16">
      <c r="A627" s="1632">
        <f t="shared" ca="1" si="18"/>
        <v>0.15090413596725782</v>
      </c>
      <c r="B627" s="1632">
        <f t="shared" ca="1" si="19"/>
        <v>0.96626138045454801</v>
      </c>
      <c r="C627" s="1594">
        <v>615</v>
      </c>
      <c r="D627" s="1665">
        <v>2719365.4824631587</v>
      </c>
    </row>
    <row r="628" spans="1:4" ht="16">
      <c r="A628" s="1632">
        <f t="shared" ca="1" si="18"/>
        <v>0.25396383056298266</v>
      </c>
      <c r="B628" s="1632">
        <f t="shared" ca="1" si="19"/>
        <v>1.039680940781698</v>
      </c>
      <c r="C628" s="1594">
        <v>616</v>
      </c>
      <c r="D628" s="1665">
        <v>2719365.4824631587</v>
      </c>
    </row>
    <row r="629" spans="1:4" ht="16">
      <c r="A629" s="1632">
        <f t="shared" ca="1" si="18"/>
        <v>0.92248418669824417</v>
      </c>
      <c r="B629" s="1632">
        <f t="shared" ca="1" si="19"/>
        <v>1.7582159590534601</v>
      </c>
      <c r="C629" s="1594">
        <v>617</v>
      </c>
      <c r="D629" s="1665">
        <v>2719365.4824631587</v>
      </c>
    </row>
    <row r="630" spans="1:4" ht="16">
      <c r="A630" s="1632">
        <f t="shared" ca="1" si="18"/>
        <v>0.30344101504538612</v>
      </c>
      <c r="B630" s="1632">
        <f t="shared" ca="1" si="19"/>
        <v>1.0754442961329027</v>
      </c>
      <c r="C630" s="1594">
        <v>618</v>
      </c>
      <c r="D630" s="1665">
        <v>2719365.4824631587</v>
      </c>
    </row>
    <row r="631" spans="1:4" ht="16">
      <c r="A631" s="1632">
        <f t="shared" ca="1" si="18"/>
        <v>0.63477647700108475</v>
      </c>
      <c r="B631" s="1632">
        <f t="shared" ca="1" si="19"/>
        <v>1.3581160136791162</v>
      </c>
      <c r="C631" s="1594">
        <v>619</v>
      </c>
      <c r="D631" s="1665">
        <v>2719365.4824631587</v>
      </c>
    </row>
    <row r="632" spans="1:4" ht="16">
      <c r="A632" s="1632">
        <f t="shared" ca="1" si="18"/>
        <v>0.7304624831565959</v>
      </c>
      <c r="B632" s="1632">
        <f t="shared" ca="1" si="19"/>
        <v>1.4626672471283073</v>
      </c>
      <c r="C632" s="1594">
        <v>620</v>
      </c>
      <c r="D632" s="1665">
        <v>2719365.4824631587</v>
      </c>
    </row>
    <row r="633" spans="1:4" ht="16">
      <c r="A633" s="1632">
        <f t="shared" ca="1" si="18"/>
        <v>0.89609163784403634</v>
      </c>
      <c r="B633" s="1632">
        <f t="shared" ca="1" si="19"/>
        <v>1.704285580539403</v>
      </c>
      <c r="C633" s="1594">
        <v>621</v>
      </c>
      <c r="D633" s="1665">
        <v>2719365.4824631587</v>
      </c>
    </row>
    <row r="634" spans="1:4" ht="16">
      <c r="A634" s="1632">
        <f t="shared" ca="1" si="18"/>
        <v>0.33684717607974357</v>
      </c>
      <c r="B634" s="1632">
        <f t="shared" ca="1" si="19"/>
        <v>1.1003143965986975</v>
      </c>
      <c r="C634" s="1594">
        <v>622</v>
      </c>
      <c r="D634" s="1665">
        <v>2719365.4824631587</v>
      </c>
    </row>
    <row r="635" spans="1:4" ht="16">
      <c r="A635" s="1632">
        <f t="shared" ca="1" si="18"/>
        <v>0.36231684803554087</v>
      </c>
      <c r="B635" s="1632">
        <f t="shared" ca="1" si="19"/>
        <v>1.1196997857745619</v>
      </c>
      <c r="C635" s="1594">
        <v>623</v>
      </c>
      <c r="D635" s="1665">
        <v>2719365.4824631587</v>
      </c>
    </row>
    <row r="636" spans="1:4" ht="16">
      <c r="A636" s="1632">
        <f t="shared" ca="1" si="18"/>
        <v>0.27212383169749677</v>
      </c>
      <c r="B636" s="1632">
        <f t="shared" ca="1" si="19"/>
        <v>1.0526655808043581</v>
      </c>
      <c r="C636" s="1594">
        <v>624</v>
      </c>
      <c r="D636" s="1665">
        <v>2719365.4824631587</v>
      </c>
    </row>
    <row r="637" spans="1:4" ht="16">
      <c r="A637" s="1632">
        <f t="shared" ca="1" si="18"/>
        <v>0.97811697543057863</v>
      </c>
      <c r="B637" s="1632">
        <f t="shared" ca="1" si="19"/>
        <v>1.9184023182248242</v>
      </c>
      <c r="C637" s="1594">
        <v>625</v>
      </c>
      <c r="D637" s="1665">
        <v>2719365.4824631587</v>
      </c>
    </row>
    <row r="638" spans="1:4" ht="16">
      <c r="A638" s="1632">
        <f t="shared" ca="1" si="18"/>
        <v>0.80066215020407927</v>
      </c>
      <c r="B638" s="1632">
        <f t="shared" ca="1" si="19"/>
        <v>1.5519104638451373</v>
      </c>
      <c r="C638" s="1594">
        <v>626</v>
      </c>
      <c r="D638" s="1665">
        <v>2719365.4824631587</v>
      </c>
    </row>
    <row r="639" spans="1:4" ht="16">
      <c r="A639" s="1632">
        <f t="shared" ca="1" si="18"/>
        <v>0.60642101267572779</v>
      </c>
      <c r="B639" s="1632">
        <f t="shared" ca="1" si="19"/>
        <v>1.3298548617970258</v>
      </c>
      <c r="C639" s="1594">
        <v>627</v>
      </c>
      <c r="D639" s="1665">
        <v>2719365.4824631587</v>
      </c>
    </row>
    <row r="640" spans="1:4" ht="16">
      <c r="A640" s="1632">
        <f t="shared" ca="1" si="18"/>
        <v>0.25440706363196752</v>
      </c>
      <c r="B640" s="1632">
        <f t="shared" ca="1" si="19"/>
        <v>1.0399959645800281</v>
      </c>
      <c r="C640" s="1594">
        <v>628</v>
      </c>
      <c r="D640" s="1665">
        <v>2719365.4824631587</v>
      </c>
    </row>
    <row r="641" spans="1:4" ht="16">
      <c r="A641" s="1632">
        <f t="shared" ca="1" si="18"/>
        <v>0.81407301114803099</v>
      </c>
      <c r="B641" s="1632">
        <f t="shared" ca="1" si="19"/>
        <v>1.5706683721900634</v>
      </c>
      <c r="C641" s="1594">
        <v>629</v>
      </c>
      <c r="D641" s="1665">
        <v>2719365.4824631587</v>
      </c>
    </row>
    <row r="642" spans="1:4" ht="16">
      <c r="A642" s="1632">
        <f t="shared" ca="1" si="18"/>
        <v>0.98911975988865597</v>
      </c>
      <c r="B642" s="1632">
        <f t="shared" ca="1" si="19"/>
        <v>1.9719510958742894</v>
      </c>
      <c r="C642" s="1594">
        <v>630</v>
      </c>
      <c r="D642" s="1665">
        <v>2719365.4824631587</v>
      </c>
    </row>
    <row r="643" spans="1:4" ht="16">
      <c r="A643" s="1632">
        <f t="shared" ca="1" si="18"/>
        <v>0.49768884945051461</v>
      </c>
      <c r="B643" s="1632">
        <f t="shared" ca="1" si="19"/>
        <v>1.2299523553976632</v>
      </c>
      <c r="C643" s="1594">
        <v>631</v>
      </c>
      <c r="D643" s="1665">
        <v>2719365.4824631587</v>
      </c>
    </row>
    <row r="644" spans="1:4" ht="16">
      <c r="A644" s="1632">
        <f t="shared" ca="1" si="18"/>
        <v>0.7140066788950068</v>
      </c>
      <c r="B644" s="1632">
        <f t="shared" ca="1" si="19"/>
        <v>1.4435002399808323</v>
      </c>
      <c r="C644" s="1594">
        <v>632</v>
      </c>
      <c r="D644" s="1665">
        <v>2719365.4824631587</v>
      </c>
    </row>
    <row r="645" spans="1:4" ht="16">
      <c r="A645" s="1632">
        <f t="shared" ca="1" si="18"/>
        <v>0.48384631416179558</v>
      </c>
      <c r="B645" s="1632">
        <f t="shared" ca="1" si="19"/>
        <v>1.2180455768248715</v>
      </c>
      <c r="C645" s="1594">
        <v>633</v>
      </c>
      <c r="D645" s="1665">
        <v>2719365.4824631587</v>
      </c>
    </row>
    <row r="646" spans="1:4" ht="16">
      <c r="A646" s="1632">
        <f t="shared" ca="1" si="18"/>
        <v>0.58741105005227467</v>
      </c>
      <c r="B646" s="1632">
        <f t="shared" ca="1" si="19"/>
        <v>1.3114750811983034</v>
      </c>
      <c r="C646" s="1594">
        <v>634</v>
      </c>
      <c r="D646" s="1665">
        <v>2719365.4824631587</v>
      </c>
    </row>
    <row r="647" spans="1:4" ht="16">
      <c r="A647" s="1632">
        <f t="shared" ca="1" si="18"/>
        <v>0.61259082467110226</v>
      </c>
      <c r="B647" s="1632">
        <f t="shared" ca="1" si="19"/>
        <v>1.3359151701410052</v>
      </c>
      <c r="C647" s="1594">
        <v>635</v>
      </c>
      <c r="D647" s="1665">
        <v>2719365.4824631587</v>
      </c>
    </row>
    <row r="648" spans="1:4" ht="16">
      <c r="A648" s="1632">
        <f t="shared" ca="1" si="18"/>
        <v>0.45515407951167752</v>
      </c>
      <c r="B648" s="1632">
        <f t="shared" ca="1" si="19"/>
        <v>1.1938638059453193</v>
      </c>
      <c r="C648" s="1594">
        <v>636</v>
      </c>
      <c r="D648" s="1665">
        <v>2719365.4824631587</v>
      </c>
    </row>
    <row r="649" spans="1:4" ht="16">
      <c r="A649" s="1632">
        <f t="shared" ca="1" si="18"/>
        <v>0.58739278972590914</v>
      </c>
      <c r="B649" s="1632">
        <f t="shared" ca="1" si="19"/>
        <v>1.3114576321572473</v>
      </c>
      <c r="C649" s="1594">
        <v>637</v>
      </c>
      <c r="D649" s="1665">
        <v>2719365.4824631587</v>
      </c>
    </row>
    <row r="650" spans="1:4" ht="16">
      <c r="A650" s="1632">
        <f t="shared" ca="1" si="18"/>
        <v>0.12252528028515963</v>
      </c>
      <c r="B650" s="1632">
        <f t="shared" ca="1" si="19"/>
        <v>0.94288988040177146</v>
      </c>
      <c r="C650" s="1594">
        <v>638</v>
      </c>
      <c r="D650" s="1665">
        <v>2719365.4824631587</v>
      </c>
    </row>
    <row r="651" spans="1:4" ht="16">
      <c r="A651" s="1632">
        <f t="shared" ca="1" si="18"/>
        <v>0.79447017100537343</v>
      </c>
      <c r="B651" s="1632">
        <f t="shared" ca="1" si="19"/>
        <v>1.5434629820983135</v>
      </c>
      <c r="C651" s="1594">
        <v>639</v>
      </c>
      <c r="D651" s="1665">
        <v>2719365.4824631587</v>
      </c>
    </row>
    <row r="652" spans="1:4" ht="16">
      <c r="A652" s="1632">
        <f t="shared" ca="1" si="18"/>
        <v>0.93978446533579174</v>
      </c>
      <c r="B652" s="1632">
        <f t="shared" ca="1" si="19"/>
        <v>1.798761206450826</v>
      </c>
      <c r="C652" s="1594">
        <v>640</v>
      </c>
      <c r="D652" s="1665">
        <v>2719365.4824631587</v>
      </c>
    </row>
    <row r="653" spans="1:4" ht="16">
      <c r="A653" s="1632">
        <f t="shared" ref="A653:A716" ca="1" si="20">RAND()</f>
        <v>0.29624275748695861</v>
      </c>
      <c r="B653" s="1632">
        <f t="shared" ref="B653:B716" ca="1" si="21">IF(A653&lt;=(B$5-B$4)/(B$6-B$4),$B$4+SQRT(A653*(B$6-B$4)*(B$5-B$4)),B$6-SQRT((1-A653)*(B$6-B$4)*(-B$5+B$6)))</f>
        <v>1.0701640108895236</v>
      </c>
      <c r="C653" s="1594">
        <v>641</v>
      </c>
      <c r="D653" s="1665">
        <v>2719365.4824631587</v>
      </c>
    </row>
    <row r="654" spans="1:4" ht="16">
      <c r="A654" s="1632">
        <f t="shared" ca="1" si="20"/>
        <v>5.0757123277320737E-3</v>
      </c>
      <c r="B654" s="1632">
        <f t="shared" ca="1" si="21"/>
        <v>0.77333019720735285</v>
      </c>
      <c r="C654" s="1594">
        <v>642</v>
      </c>
      <c r="D654" s="1665">
        <v>2719365.4824631587</v>
      </c>
    </row>
    <row r="655" spans="1:4" ht="16">
      <c r="A655" s="1632">
        <f t="shared" ca="1" si="20"/>
        <v>0.23410114100521873</v>
      </c>
      <c r="B655" s="1632">
        <f t="shared" ca="1" si="21"/>
        <v>1.0256585363558124</v>
      </c>
      <c r="C655" s="1594">
        <v>643</v>
      </c>
      <c r="D655" s="1665">
        <v>2719365.4824631587</v>
      </c>
    </row>
    <row r="656" spans="1:4" ht="16">
      <c r="A656" s="1632">
        <f t="shared" ca="1" si="20"/>
        <v>0.6985773260480973</v>
      </c>
      <c r="B656" s="1632">
        <f t="shared" ca="1" si="21"/>
        <v>1.426023761809426</v>
      </c>
      <c r="C656" s="1594">
        <v>644</v>
      </c>
      <c r="D656" s="1665">
        <v>2719365.4824631587</v>
      </c>
    </row>
    <row r="657" spans="1:4" ht="16">
      <c r="A657" s="1632">
        <f t="shared" ca="1" si="20"/>
        <v>0.52278710651453264</v>
      </c>
      <c r="B657" s="1632">
        <f t="shared" ca="1" si="21"/>
        <v>1.2519670817222959</v>
      </c>
      <c r="C657" s="1594">
        <v>645</v>
      </c>
      <c r="D657" s="1665">
        <v>2719365.4824631587</v>
      </c>
    </row>
    <row r="658" spans="1:4" ht="16">
      <c r="A658" s="1632">
        <f t="shared" ca="1" si="20"/>
        <v>0.61503779718553497</v>
      </c>
      <c r="B658" s="1632">
        <f t="shared" ca="1" si="21"/>
        <v>1.3383320673407613</v>
      </c>
      <c r="C658" s="1594">
        <v>646</v>
      </c>
      <c r="D658" s="1665">
        <v>2719365.4824631587</v>
      </c>
    </row>
    <row r="659" spans="1:4" ht="16">
      <c r="A659" s="1632">
        <f t="shared" ca="1" si="20"/>
        <v>0.20950452124149621</v>
      </c>
      <c r="B659" s="1632">
        <f t="shared" ca="1" si="21"/>
        <v>1.0085437771082777</v>
      </c>
      <c r="C659" s="1594">
        <v>647</v>
      </c>
      <c r="D659" s="1665">
        <v>2719365.4824631587</v>
      </c>
    </row>
    <row r="660" spans="1:4" ht="16">
      <c r="A660" s="1632">
        <f t="shared" ca="1" si="20"/>
        <v>0.89712966331842725</v>
      </c>
      <c r="B660" s="1632">
        <f t="shared" ca="1" si="21"/>
        <v>1.7062670989374522</v>
      </c>
      <c r="C660" s="1594">
        <v>648</v>
      </c>
      <c r="D660" s="1665">
        <v>2719365.4824631587</v>
      </c>
    </row>
    <row r="661" spans="1:4" ht="16">
      <c r="A661" s="1632">
        <f t="shared" ca="1" si="20"/>
        <v>0.73433615353474868</v>
      </c>
      <c r="B661" s="1632">
        <f t="shared" ca="1" si="21"/>
        <v>1.4672635488427006</v>
      </c>
      <c r="C661" s="1594">
        <v>649</v>
      </c>
      <c r="D661" s="1665">
        <v>2719365.4824631587</v>
      </c>
    </row>
    <row r="662" spans="1:4" ht="16">
      <c r="A662" s="1632">
        <f t="shared" ca="1" si="20"/>
        <v>4.882643898751815E-3</v>
      </c>
      <c r="B662" s="1632">
        <f t="shared" ca="1" si="21"/>
        <v>0.77249811734828144</v>
      </c>
      <c r="C662" s="1594">
        <v>650</v>
      </c>
      <c r="D662" s="1665">
        <v>2719365.4824631587</v>
      </c>
    </row>
    <row r="663" spans="1:4" ht="16">
      <c r="A663" s="1632">
        <f t="shared" ca="1" si="20"/>
        <v>0.77010978885383818</v>
      </c>
      <c r="B663" s="1632">
        <f t="shared" ca="1" si="21"/>
        <v>1.5114045972000243</v>
      </c>
      <c r="C663" s="1594">
        <v>651</v>
      </c>
      <c r="D663" s="1665">
        <v>2719365.4824631587</v>
      </c>
    </row>
    <row r="664" spans="1:4" ht="16">
      <c r="A664" s="1632">
        <f t="shared" ca="1" si="20"/>
        <v>0.39230767313402648</v>
      </c>
      <c r="B664" s="1632">
        <f t="shared" ca="1" si="21"/>
        <v>1.1430296051668987</v>
      </c>
      <c r="C664" s="1594">
        <v>652</v>
      </c>
      <c r="D664" s="1665">
        <v>2719365.4824631587</v>
      </c>
    </row>
    <row r="665" spans="1:4" ht="16">
      <c r="A665" s="1632">
        <f t="shared" ca="1" si="20"/>
        <v>2.5060606342472092E-2</v>
      </c>
      <c r="B665" s="1632">
        <f t="shared" ca="1" si="21"/>
        <v>0.82628041486242376</v>
      </c>
      <c r="C665" s="1594">
        <v>653</v>
      </c>
      <c r="D665" s="1665">
        <v>2719365.4824631587</v>
      </c>
    </row>
    <row r="666" spans="1:4" ht="16">
      <c r="A666" s="1632">
        <f t="shared" ca="1" si="20"/>
        <v>0.70794953037505637</v>
      </c>
      <c r="B666" s="1632">
        <f t="shared" ca="1" si="21"/>
        <v>1.4365845511862192</v>
      </c>
      <c r="C666" s="1594">
        <v>654</v>
      </c>
      <c r="D666" s="1665">
        <v>2719365.4824631587</v>
      </c>
    </row>
    <row r="667" spans="1:4" ht="16">
      <c r="A667" s="1632">
        <f t="shared" ca="1" si="20"/>
        <v>0.56103000358517341</v>
      </c>
      <c r="B667" s="1632">
        <f t="shared" ca="1" si="21"/>
        <v>1.2866564166373822</v>
      </c>
      <c r="C667" s="1594">
        <v>655</v>
      </c>
      <c r="D667" s="1665">
        <v>2719365.4824631587</v>
      </c>
    </row>
    <row r="668" spans="1:4" ht="16">
      <c r="A668" s="1632">
        <f t="shared" ca="1" si="20"/>
        <v>0.25091020475871073</v>
      </c>
      <c r="B668" s="1632">
        <f t="shared" ca="1" si="21"/>
        <v>1.0375131429384066</v>
      </c>
      <c r="C668" s="1594">
        <v>656</v>
      </c>
      <c r="D668" s="1665">
        <v>2719365.4824631587</v>
      </c>
    </row>
    <row r="669" spans="1:4" ht="16">
      <c r="A669" s="1632">
        <f t="shared" ca="1" si="20"/>
        <v>0.66040841664212313</v>
      </c>
      <c r="B669" s="1632">
        <f t="shared" ca="1" si="21"/>
        <v>1.3846228154879969</v>
      </c>
      <c r="C669" s="1594">
        <v>657</v>
      </c>
      <c r="D669" s="1665">
        <v>2719365.4824631587</v>
      </c>
    </row>
    <row r="670" spans="1:4" ht="16">
      <c r="A670" s="1632">
        <f t="shared" ca="1" si="20"/>
        <v>0.25877214675164562</v>
      </c>
      <c r="B670" s="1632">
        <f t="shared" ca="1" si="21"/>
        <v>1.0431034228245082</v>
      </c>
      <c r="C670" s="1594">
        <v>658</v>
      </c>
      <c r="D670" s="1665">
        <v>2719365.4824631587</v>
      </c>
    </row>
    <row r="671" spans="1:4" ht="16">
      <c r="A671" s="1632">
        <f t="shared" ca="1" si="20"/>
        <v>0.96264227974468064</v>
      </c>
      <c r="B671" s="1632">
        <f t="shared" ca="1" si="21"/>
        <v>1.8627278262737785</v>
      </c>
      <c r="C671" s="1594">
        <v>659</v>
      </c>
      <c r="D671" s="1665">
        <v>2719365.4824631587</v>
      </c>
    </row>
    <row r="672" spans="1:4" ht="16">
      <c r="A672" s="1632">
        <f t="shared" ca="1" si="20"/>
        <v>0.55068456732594562</v>
      </c>
      <c r="B672" s="1632">
        <f t="shared" ca="1" si="21"/>
        <v>1.277127982587936</v>
      </c>
      <c r="C672" s="1594">
        <v>660</v>
      </c>
      <c r="D672" s="1665">
        <v>2719365.4824631587</v>
      </c>
    </row>
    <row r="673" spans="1:4" ht="16">
      <c r="A673" s="1632">
        <f t="shared" ca="1" si="20"/>
        <v>0.7220298774356787</v>
      </c>
      <c r="B673" s="1632">
        <f t="shared" ca="1" si="21"/>
        <v>1.4527744020015647</v>
      </c>
      <c r="C673" s="1594">
        <v>661</v>
      </c>
      <c r="D673" s="1665">
        <v>2719365.4824631587</v>
      </c>
    </row>
    <row r="674" spans="1:4" ht="16">
      <c r="A674" s="1632">
        <f t="shared" ca="1" si="20"/>
        <v>0.4831652830650871</v>
      </c>
      <c r="B674" s="1632">
        <f t="shared" ca="1" si="21"/>
        <v>1.2174639279774939</v>
      </c>
      <c r="C674" s="1594">
        <v>662</v>
      </c>
      <c r="D674" s="1665">
        <v>2719365.4824631587</v>
      </c>
    </row>
    <row r="675" spans="1:4" ht="16">
      <c r="A675" s="1632">
        <f t="shared" ca="1" si="20"/>
        <v>0.27370473082314917</v>
      </c>
      <c r="B675" s="1632">
        <f t="shared" ca="1" si="21"/>
        <v>1.0538035697587598</v>
      </c>
      <c r="C675" s="1594">
        <v>663</v>
      </c>
      <c r="D675" s="1665">
        <v>2719365.4824631587</v>
      </c>
    </row>
    <row r="676" spans="1:4" ht="16">
      <c r="A676" s="1632">
        <f t="shared" ca="1" si="20"/>
        <v>0.25522893414984371</v>
      </c>
      <c r="B676" s="1632">
        <f t="shared" ca="1" si="21"/>
        <v>1.0405803493250725</v>
      </c>
      <c r="C676" s="1594">
        <v>664</v>
      </c>
      <c r="D676" s="1665">
        <v>2719365.4824631587</v>
      </c>
    </row>
    <row r="677" spans="1:4" ht="16">
      <c r="A677" s="1632">
        <f t="shared" ca="1" si="20"/>
        <v>0.41057396733917462</v>
      </c>
      <c r="B677" s="1632">
        <f t="shared" ca="1" si="21"/>
        <v>1.1575218669805309</v>
      </c>
      <c r="C677" s="1594">
        <v>665</v>
      </c>
      <c r="D677" s="1665">
        <v>2719365.4824631587</v>
      </c>
    </row>
    <row r="678" spans="1:4" ht="16">
      <c r="A678" s="1632">
        <f t="shared" ca="1" si="20"/>
        <v>0.71693261377903517</v>
      </c>
      <c r="B678" s="1632">
        <f t="shared" ca="1" si="21"/>
        <v>1.4468671260493819</v>
      </c>
      <c r="C678" s="1594">
        <v>666</v>
      </c>
      <c r="D678" s="1665">
        <v>2719365.4824631587</v>
      </c>
    </row>
    <row r="679" spans="1:4" ht="16">
      <c r="A679" s="1632">
        <f t="shared" ca="1" si="20"/>
        <v>0.89911328777528676</v>
      </c>
      <c r="B679" s="1632">
        <f t="shared" ca="1" si="21"/>
        <v>1.7100817068632932</v>
      </c>
      <c r="C679" s="1594">
        <v>667</v>
      </c>
      <c r="D679" s="1665">
        <v>2719365.4824631587</v>
      </c>
    </row>
    <row r="680" spans="1:4" ht="16">
      <c r="A680" s="1632">
        <f t="shared" ca="1" si="20"/>
        <v>0.59522705949913435</v>
      </c>
      <c r="B680" s="1632">
        <f t="shared" ca="1" si="21"/>
        <v>1.3189796280923241</v>
      </c>
      <c r="C680" s="1594">
        <v>668</v>
      </c>
      <c r="D680" s="1665">
        <v>2719365.4824631587</v>
      </c>
    </row>
    <row r="681" spans="1:4" ht="16">
      <c r="A681" s="1632">
        <f t="shared" ca="1" si="20"/>
        <v>0.90336546212812041</v>
      </c>
      <c r="B681" s="1632">
        <f t="shared" ca="1" si="21"/>
        <v>1.7183873055401295</v>
      </c>
      <c r="C681" s="1594">
        <v>669</v>
      </c>
      <c r="D681" s="1665">
        <v>2719365.4824631587</v>
      </c>
    </row>
    <row r="682" spans="1:4" ht="16">
      <c r="A682" s="1632">
        <f t="shared" ca="1" si="20"/>
        <v>9.798656942529882E-2</v>
      </c>
      <c r="B682" s="1632">
        <f t="shared" ca="1" si="21"/>
        <v>0.92038180593328245</v>
      </c>
      <c r="C682" s="1594">
        <v>670</v>
      </c>
      <c r="D682" s="1665">
        <v>2719365.4824631587</v>
      </c>
    </row>
    <row r="683" spans="1:4" ht="16">
      <c r="A683" s="1632">
        <f t="shared" ca="1" si="20"/>
        <v>0.2582989379346784</v>
      </c>
      <c r="B683" s="1632">
        <f t="shared" ca="1" si="21"/>
        <v>1.0427661088801401</v>
      </c>
      <c r="C683" s="1594">
        <v>671</v>
      </c>
      <c r="D683" s="1665">
        <v>2719365.4824631587</v>
      </c>
    </row>
    <row r="684" spans="1:4" ht="16">
      <c r="A684" s="1632">
        <f t="shared" ca="1" si="20"/>
        <v>0.79357391228751639</v>
      </c>
      <c r="B684" s="1632">
        <f t="shared" ca="1" si="21"/>
        <v>1.5422508501282026</v>
      </c>
      <c r="C684" s="1594">
        <v>672</v>
      </c>
      <c r="D684" s="1665">
        <v>2719365.4824631587</v>
      </c>
    </row>
    <row r="685" spans="1:4" ht="16">
      <c r="A685" s="1632">
        <f t="shared" ca="1" si="20"/>
        <v>8.3819897937811305E-3</v>
      </c>
      <c r="B685" s="1632">
        <f t="shared" ca="1" si="21"/>
        <v>0.78568211584269798</v>
      </c>
      <c r="C685" s="1594">
        <v>673</v>
      </c>
      <c r="D685" s="1665">
        <v>2719365.4824631587</v>
      </c>
    </row>
    <row r="686" spans="1:4" ht="16">
      <c r="A686" s="1632">
        <f t="shared" ca="1" si="20"/>
        <v>0.83774671915496668</v>
      </c>
      <c r="B686" s="1632">
        <f t="shared" ca="1" si="21"/>
        <v>1.605514717879829</v>
      </c>
      <c r="C686" s="1594">
        <v>674</v>
      </c>
      <c r="D686" s="1665">
        <v>2719365.4824631587</v>
      </c>
    </row>
    <row r="687" spans="1:4" ht="16">
      <c r="A687" s="1632">
        <f t="shared" ca="1" si="20"/>
        <v>0.46057303627406454</v>
      </c>
      <c r="B687" s="1632">
        <f t="shared" ca="1" si="21"/>
        <v>1.1983812145174744</v>
      </c>
      <c r="C687" s="1594">
        <v>675</v>
      </c>
      <c r="D687" s="1665">
        <v>2719365.4824631587</v>
      </c>
    </row>
    <row r="688" spans="1:4" ht="16">
      <c r="A688" s="1632">
        <f t="shared" ca="1" si="20"/>
        <v>0.47932381514306388</v>
      </c>
      <c r="B688" s="1632">
        <f t="shared" ca="1" si="21"/>
        <v>1.2141901950308958</v>
      </c>
      <c r="C688" s="1594">
        <v>676</v>
      </c>
      <c r="D688" s="1665">
        <v>2719365.4824631587</v>
      </c>
    </row>
    <row r="689" spans="1:4" ht="16">
      <c r="A689" s="1632">
        <f t="shared" ca="1" si="20"/>
        <v>0.78407310314839496</v>
      </c>
      <c r="B689" s="1632">
        <f t="shared" ca="1" si="21"/>
        <v>1.5295599649784661</v>
      </c>
      <c r="C689" s="1594">
        <v>677</v>
      </c>
      <c r="D689" s="1665">
        <v>2719365.4824631587</v>
      </c>
    </row>
    <row r="690" spans="1:4" ht="16">
      <c r="A690" s="1632">
        <f t="shared" ca="1" si="20"/>
        <v>0.86617721273809223</v>
      </c>
      <c r="B690" s="1632">
        <f t="shared" ca="1" si="21"/>
        <v>1.6509221221172268</v>
      </c>
      <c r="C690" s="1594">
        <v>678</v>
      </c>
      <c r="D690" s="1665">
        <v>2719365.4824631587</v>
      </c>
    </row>
    <row r="691" spans="1:4" ht="16">
      <c r="A691" s="1632">
        <f t="shared" ca="1" si="20"/>
        <v>0.21834281867412142</v>
      </c>
      <c r="B691" s="1632">
        <f t="shared" ca="1" si="21"/>
        <v>1.0146625537381939</v>
      </c>
      <c r="C691" s="1594">
        <v>679</v>
      </c>
      <c r="D691" s="1665">
        <v>2719365.4824631587</v>
      </c>
    </row>
    <row r="692" spans="1:4" ht="16">
      <c r="A692" s="1632">
        <f t="shared" ca="1" si="20"/>
        <v>0.72013287130453274</v>
      </c>
      <c r="B692" s="1632">
        <f t="shared" ca="1" si="21"/>
        <v>1.4505696627473665</v>
      </c>
      <c r="C692" s="1594">
        <v>680</v>
      </c>
      <c r="D692" s="1665">
        <v>2719365.4824631587</v>
      </c>
    </row>
    <row r="693" spans="1:4" ht="16">
      <c r="A693" s="1632">
        <f t="shared" ca="1" si="20"/>
        <v>0.83066729263169503</v>
      </c>
      <c r="B693" s="1632">
        <f t="shared" ca="1" si="21"/>
        <v>1.5948422127651247</v>
      </c>
      <c r="C693" s="1594">
        <v>681</v>
      </c>
      <c r="D693" s="1665">
        <v>2719365.4824631587</v>
      </c>
    </row>
    <row r="694" spans="1:4" ht="16">
      <c r="A694" s="1632">
        <f t="shared" ca="1" si="20"/>
        <v>0.68405524374421722</v>
      </c>
      <c r="B694" s="1632">
        <f t="shared" ca="1" si="21"/>
        <v>1.4099791686641159</v>
      </c>
      <c r="C694" s="1594">
        <v>682</v>
      </c>
      <c r="D694" s="1665">
        <v>2719365.4824631587</v>
      </c>
    </row>
    <row r="695" spans="1:4" ht="16">
      <c r="A695" s="1632">
        <f t="shared" ca="1" si="20"/>
        <v>0.540660792260792</v>
      </c>
      <c r="B695" s="1632">
        <f t="shared" ca="1" si="21"/>
        <v>1.2679998881833088</v>
      </c>
      <c r="C695" s="1594">
        <v>683</v>
      </c>
      <c r="D695" s="1665">
        <v>2719365.4824631587</v>
      </c>
    </row>
    <row r="696" spans="1:4" ht="16">
      <c r="A696" s="1632">
        <f t="shared" ca="1" si="20"/>
        <v>0.80980101970850238</v>
      </c>
      <c r="B696" s="1632">
        <f t="shared" ca="1" si="21"/>
        <v>1.5646217567931184</v>
      </c>
      <c r="C696" s="1594">
        <v>684</v>
      </c>
      <c r="D696" s="1665">
        <v>2719365.4824631587</v>
      </c>
    </row>
    <row r="697" spans="1:4" ht="16">
      <c r="A697" s="1632">
        <f t="shared" ca="1" si="20"/>
        <v>8.4659760308792076E-2</v>
      </c>
      <c r="B697" s="1632">
        <f t="shared" ca="1" si="21"/>
        <v>0.90696227094559501</v>
      </c>
      <c r="C697" s="1594">
        <v>685</v>
      </c>
      <c r="D697" s="1665">
        <v>2719365.4824631587</v>
      </c>
    </row>
    <row r="698" spans="1:4" ht="16">
      <c r="A698" s="1632">
        <f t="shared" ca="1" si="20"/>
        <v>1.0215324242572765E-2</v>
      </c>
      <c r="B698" s="1632">
        <f t="shared" ca="1" si="21"/>
        <v>0.79147071202880004</v>
      </c>
      <c r="C698" s="1594">
        <v>686</v>
      </c>
      <c r="D698" s="1665">
        <v>2719365.4824631587</v>
      </c>
    </row>
    <row r="699" spans="1:4" ht="16">
      <c r="A699" s="1632">
        <f t="shared" ca="1" si="20"/>
        <v>0.91323313892619407</v>
      </c>
      <c r="B699" s="1632">
        <f t="shared" ca="1" si="21"/>
        <v>1.738395714021217</v>
      </c>
      <c r="C699" s="1594">
        <v>687</v>
      </c>
      <c r="D699" s="1665">
        <v>2719365.4824631587</v>
      </c>
    </row>
    <row r="700" spans="1:4" ht="16">
      <c r="A700" s="1632">
        <f t="shared" ca="1" si="20"/>
        <v>0.4296016144727286</v>
      </c>
      <c r="B700" s="1632">
        <f t="shared" ca="1" si="21"/>
        <v>1.1728590360740188</v>
      </c>
      <c r="C700" s="1594">
        <v>688</v>
      </c>
      <c r="D700" s="1665">
        <v>2719365.4824631587</v>
      </c>
    </row>
    <row r="701" spans="1:4" ht="16">
      <c r="A701" s="1632">
        <f t="shared" ca="1" si="20"/>
        <v>0.70796043404569664</v>
      </c>
      <c r="B701" s="1632">
        <f t="shared" ca="1" si="21"/>
        <v>1.436596935571492</v>
      </c>
      <c r="C701" s="1594">
        <v>689</v>
      </c>
      <c r="D701" s="1665">
        <v>2719365.4824631587</v>
      </c>
    </row>
    <row r="702" spans="1:4" ht="16">
      <c r="A702" s="1632">
        <f t="shared" ca="1" si="20"/>
        <v>0.80167205365481897</v>
      </c>
      <c r="B702" s="1632">
        <f t="shared" ca="1" si="21"/>
        <v>1.5533006172107127</v>
      </c>
      <c r="C702" s="1594">
        <v>690</v>
      </c>
      <c r="D702" s="1665">
        <v>2719365.4824631587</v>
      </c>
    </row>
    <row r="703" spans="1:4" ht="16">
      <c r="A703" s="1632">
        <f t="shared" ca="1" si="20"/>
        <v>0.31385065460019412</v>
      </c>
      <c r="B703" s="1632">
        <f t="shared" ca="1" si="21"/>
        <v>1.0831287871527153</v>
      </c>
      <c r="C703" s="1594">
        <v>691</v>
      </c>
      <c r="D703" s="1665">
        <v>2719365.4824631587</v>
      </c>
    </row>
    <row r="704" spans="1:4" ht="16">
      <c r="A704" s="1632">
        <f t="shared" ca="1" si="20"/>
        <v>0.8740322433890968</v>
      </c>
      <c r="B704" s="1632">
        <f t="shared" ca="1" si="21"/>
        <v>1.6643012402902309</v>
      </c>
      <c r="C704" s="1594">
        <v>692</v>
      </c>
      <c r="D704" s="1665">
        <v>2719365.4824631587</v>
      </c>
    </row>
    <row r="705" spans="1:4" ht="16">
      <c r="A705" s="1632">
        <f t="shared" ca="1" si="20"/>
        <v>0.47751865736824062</v>
      </c>
      <c r="B705" s="1632">
        <f t="shared" ca="1" si="21"/>
        <v>1.2126559949230167</v>
      </c>
      <c r="C705" s="1594">
        <v>693</v>
      </c>
      <c r="D705" s="1665">
        <v>2719365.4824631587</v>
      </c>
    </row>
    <row r="706" spans="1:4" ht="16">
      <c r="A706" s="1632">
        <f t="shared" ca="1" si="20"/>
        <v>0.66156444717286467</v>
      </c>
      <c r="B706" s="1632">
        <f t="shared" ca="1" si="21"/>
        <v>1.3858414895063611</v>
      </c>
      <c r="C706" s="1594">
        <v>694</v>
      </c>
      <c r="D706" s="1665">
        <v>2719365.4824631587</v>
      </c>
    </row>
    <row r="707" spans="1:4" ht="16">
      <c r="A707" s="1632">
        <f t="shared" ca="1" si="20"/>
        <v>0.71703072700196313</v>
      </c>
      <c r="B707" s="1632">
        <f t="shared" ca="1" si="21"/>
        <v>1.4469803261707641</v>
      </c>
      <c r="C707" s="1594">
        <v>695</v>
      </c>
      <c r="D707" s="1665">
        <v>2719365.4824631587</v>
      </c>
    </row>
    <row r="708" spans="1:4" ht="16">
      <c r="A708" s="1632">
        <f t="shared" ca="1" si="20"/>
        <v>0.40455442074200343</v>
      </c>
      <c r="B708" s="1632">
        <f t="shared" ca="1" si="21"/>
        <v>1.1527215362197867</v>
      </c>
      <c r="C708" s="1594">
        <v>696</v>
      </c>
      <c r="D708" s="1665">
        <v>2719365.4824631587</v>
      </c>
    </row>
    <row r="709" spans="1:4" ht="16">
      <c r="A709" s="1632">
        <f t="shared" ca="1" si="20"/>
        <v>7.2716890246834476E-2</v>
      </c>
      <c r="B709" s="1632">
        <f t="shared" ca="1" si="21"/>
        <v>0.89400602946935848</v>
      </c>
      <c r="C709" s="1594">
        <v>697</v>
      </c>
      <c r="D709" s="1665">
        <v>2719365.4824631587</v>
      </c>
    </row>
    <row r="710" spans="1:4" ht="16">
      <c r="A710" s="1632">
        <f t="shared" ca="1" si="20"/>
        <v>0.44959939337582089</v>
      </c>
      <c r="B710" s="1632">
        <f t="shared" ca="1" si="21"/>
        <v>1.1892565047266943</v>
      </c>
      <c r="C710" s="1594">
        <v>698</v>
      </c>
      <c r="D710" s="1665">
        <v>2719365.4824631587</v>
      </c>
    </row>
    <row r="711" spans="1:4" ht="16">
      <c r="A711" s="1632">
        <f t="shared" ca="1" si="20"/>
        <v>0.57111981095087205</v>
      </c>
      <c r="B711" s="1632">
        <f t="shared" ca="1" si="21"/>
        <v>1.296058183139454</v>
      </c>
      <c r="C711" s="1594">
        <v>699</v>
      </c>
      <c r="D711" s="1665">
        <v>2719365.4824631587</v>
      </c>
    </row>
    <row r="712" spans="1:4" ht="16">
      <c r="A712" s="1632">
        <f t="shared" ca="1" si="20"/>
        <v>0.34835170858713382</v>
      </c>
      <c r="B712" s="1632">
        <f t="shared" ca="1" si="21"/>
        <v>1.1090237262380147</v>
      </c>
      <c r="C712" s="1594">
        <v>700</v>
      </c>
      <c r="D712" s="1665">
        <v>2719365.4824631587</v>
      </c>
    </row>
    <row r="713" spans="1:4" ht="16">
      <c r="A713" s="1632">
        <f t="shared" ca="1" si="20"/>
        <v>0.20894329793815514</v>
      </c>
      <c r="B713" s="1632">
        <f t="shared" ca="1" si="21"/>
        <v>1.0081563985592075</v>
      </c>
      <c r="C713" s="1594">
        <v>701</v>
      </c>
      <c r="D713" s="1665">
        <v>2719365.4824631587</v>
      </c>
    </row>
    <row r="714" spans="1:4" ht="16">
      <c r="A714" s="1632">
        <f t="shared" ca="1" si="20"/>
        <v>0.38762143742665089</v>
      </c>
      <c r="B714" s="1632">
        <f t="shared" ca="1" si="21"/>
        <v>1.1393468400103828</v>
      </c>
      <c r="C714" s="1594">
        <v>702</v>
      </c>
      <c r="D714" s="1665">
        <v>2719365.4824631587</v>
      </c>
    </row>
    <row r="715" spans="1:4" ht="16">
      <c r="A715" s="1632">
        <f t="shared" ca="1" si="20"/>
        <v>0.42719043311529104</v>
      </c>
      <c r="B715" s="1632">
        <f t="shared" ca="1" si="21"/>
        <v>1.1709015029098064</v>
      </c>
      <c r="C715" s="1594">
        <v>703</v>
      </c>
      <c r="D715" s="1665">
        <v>2719365.4824631587</v>
      </c>
    </row>
    <row r="716" spans="1:4" ht="16">
      <c r="A716" s="1632">
        <f t="shared" ca="1" si="20"/>
        <v>0.64479347833560241</v>
      </c>
      <c r="B716" s="1632">
        <f t="shared" ca="1" si="21"/>
        <v>1.3683605887130961</v>
      </c>
      <c r="C716" s="1594">
        <v>704</v>
      </c>
      <c r="D716" s="1665">
        <v>2719365.4824631587</v>
      </c>
    </row>
    <row r="717" spans="1:4" ht="16">
      <c r="A717" s="1632">
        <f t="shared" ref="A717:A780" ca="1" si="22">RAND()</f>
        <v>0.47378160271238978</v>
      </c>
      <c r="B717" s="1632">
        <f t="shared" ref="B717:B780" ca="1" si="23">IF(A717&lt;=(B$5-B$4)/(B$6-B$4),$B$4+SQRT(A717*(B$6-B$4)*(B$5-B$4)),B$6-SQRT((1-A717)*(B$6-B$4)*(-B$5+B$6)))</f>
        <v>1.2094882792953097</v>
      </c>
      <c r="C717" s="1594">
        <v>705</v>
      </c>
      <c r="D717" s="1665">
        <v>2719365.4824631587</v>
      </c>
    </row>
    <row r="718" spans="1:4" ht="16">
      <c r="A718" s="1632">
        <f t="shared" ca="1" si="22"/>
        <v>0.82548666699311246</v>
      </c>
      <c r="B718" s="1632">
        <f t="shared" ca="1" si="23"/>
        <v>1.5871729406111847</v>
      </c>
      <c r="C718" s="1594">
        <v>706</v>
      </c>
      <c r="D718" s="1665">
        <v>2719365.4824631587</v>
      </c>
    </row>
    <row r="719" spans="1:4" ht="16">
      <c r="A719" s="1632">
        <f t="shared" ca="1" si="22"/>
        <v>0.68330949460604573</v>
      </c>
      <c r="B719" s="1632">
        <f t="shared" ca="1" si="23"/>
        <v>1.4091652935551884</v>
      </c>
      <c r="C719" s="1594">
        <v>707</v>
      </c>
      <c r="D719" s="1665">
        <v>2719365.4824631587</v>
      </c>
    </row>
    <row r="720" spans="1:4" ht="16">
      <c r="A720" s="1632">
        <f t="shared" ca="1" si="22"/>
        <v>0.48911714436913545</v>
      </c>
      <c r="B720" s="1632">
        <f t="shared" ca="1" si="23"/>
        <v>1.222560279315033</v>
      </c>
      <c r="C720" s="1594">
        <v>708</v>
      </c>
      <c r="D720" s="1665">
        <v>2719365.4824631587</v>
      </c>
    </row>
    <row r="721" spans="1:4" ht="16">
      <c r="A721" s="1632">
        <f t="shared" ca="1" si="22"/>
        <v>0.14258993683349264</v>
      </c>
      <c r="B721" s="1632">
        <f t="shared" ca="1" si="23"/>
        <v>0.95966065756831087</v>
      </c>
      <c r="C721" s="1594">
        <v>709</v>
      </c>
      <c r="D721" s="1665">
        <v>2719365.4824631587</v>
      </c>
    </row>
    <row r="722" spans="1:4" ht="16">
      <c r="A722" s="1632">
        <f t="shared" ca="1" si="22"/>
        <v>8.6809218168956925E-2</v>
      </c>
      <c r="B722" s="1632">
        <f t="shared" ca="1" si="23"/>
        <v>0.9091946701235758</v>
      </c>
      <c r="C722" s="1594">
        <v>710</v>
      </c>
      <c r="D722" s="1665">
        <v>2719365.4824631587</v>
      </c>
    </row>
    <row r="723" spans="1:4" ht="16">
      <c r="A723" s="1632">
        <f t="shared" ca="1" si="22"/>
        <v>0.99641247057736393</v>
      </c>
      <c r="B723" s="1632">
        <f t="shared" ca="1" si="23"/>
        <v>2.0264717276150694</v>
      </c>
      <c r="C723" s="1594">
        <v>711</v>
      </c>
      <c r="D723" s="1665">
        <v>2719365.4824631587</v>
      </c>
    </row>
    <row r="724" spans="1:4" ht="16">
      <c r="A724" s="1632">
        <f t="shared" ca="1" si="22"/>
        <v>0.2607314306576145</v>
      </c>
      <c r="B724" s="1632">
        <f t="shared" ca="1" si="23"/>
        <v>1.0445011918533613</v>
      </c>
      <c r="C724" s="1594">
        <v>712</v>
      </c>
      <c r="D724" s="1665">
        <v>2719365.4824631587</v>
      </c>
    </row>
    <row r="725" spans="1:4" ht="16">
      <c r="A725" s="1632">
        <f t="shared" ca="1" si="22"/>
        <v>0.30428951028400075</v>
      </c>
      <c r="B725" s="1632">
        <f t="shared" ca="1" si="23"/>
        <v>1.0760685042435647</v>
      </c>
      <c r="C725" s="1594">
        <v>713</v>
      </c>
      <c r="D725" s="1665">
        <v>2719365.4824631587</v>
      </c>
    </row>
    <row r="726" spans="1:4" ht="16">
      <c r="A726" s="1632">
        <f t="shared" ca="1" si="22"/>
        <v>0.70740534336640226</v>
      </c>
      <c r="B726" s="1632">
        <f t="shared" ca="1" si="23"/>
        <v>1.435966757197479</v>
      </c>
      <c r="C726" s="1594">
        <v>714</v>
      </c>
      <c r="D726" s="1665">
        <v>2719365.4824631587</v>
      </c>
    </row>
    <row r="727" spans="1:4" ht="16">
      <c r="A727" s="1632">
        <f t="shared" ca="1" si="22"/>
        <v>0.24539616813088572</v>
      </c>
      <c r="B727" s="1632">
        <f t="shared" ca="1" si="23"/>
        <v>1.0336098393989397</v>
      </c>
      <c r="C727" s="1594">
        <v>715</v>
      </c>
      <c r="D727" s="1665">
        <v>2719365.4824631587</v>
      </c>
    </row>
    <row r="728" spans="1:4" ht="16">
      <c r="A728" s="1632">
        <f t="shared" ca="1" si="22"/>
        <v>1.0721431218851385E-2</v>
      </c>
      <c r="B728" s="1632">
        <f t="shared" ca="1" si="23"/>
        <v>0.79297505385351508</v>
      </c>
      <c r="C728" s="1594">
        <v>716</v>
      </c>
      <c r="D728" s="1665">
        <v>2719365.4824631587</v>
      </c>
    </row>
    <row r="729" spans="1:4" ht="16">
      <c r="A729" s="1632">
        <f t="shared" ca="1" si="22"/>
        <v>0.10438860710770859</v>
      </c>
      <c r="B729" s="1632">
        <f t="shared" ca="1" si="23"/>
        <v>0.92650278819686349</v>
      </c>
      <c r="C729" s="1594">
        <v>717</v>
      </c>
      <c r="D729" s="1665">
        <v>2719365.4824631587</v>
      </c>
    </row>
    <row r="730" spans="1:4" ht="16">
      <c r="A730" s="1632">
        <f t="shared" ca="1" si="22"/>
        <v>0.9762504083961262</v>
      </c>
      <c r="B730" s="1632">
        <f t="shared" ca="1" si="23"/>
        <v>1.910815871313057</v>
      </c>
      <c r="C730" s="1594">
        <v>718</v>
      </c>
      <c r="D730" s="1665">
        <v>2719365.4824631587</v>
      </c>
    </row>
    <row r="731" spans="1:4" ht="16">
      <c r="A731" s="1632">
        <f t="shared" ca="1" si="22"/>
        <v>7.3970540028294618E-2</v>
      </c>
      <c r="B731" s="1632">
        <f t="shared" ca="1" si="23"/>
        <v>0.89541373206740182</v>
      </c>
      <c r="C731" s="1594">
        <v>719</v>
      </c>
      <c r="D731" s="1665">
        <v>2719365.4824631587</v>
      </c>
    </row>
    <row r="732" spans="1:4" ht="16">
      <c r="A732" s="1632">
        <f t="shared" ca="1" si="22"/>
        <v>0.28236458435393175</v>
      </c>
      <c r="B732" s="1632">
        <f t="shared" ca="1" si="23"/>
        <v>1.0600593423763909</v>
      </c>
      <c r="C732" s="1594">
        <v>720</v>
      </c>
      <c r="D732" s="1665">
        <v>2719365.4824631587</v>
      </c>
    </row>
    <row r="733" spans="1:4" ht="16">
      <c r="A733" s="1632">
        <f t="shared" ca="1" si="22"/>
        <v>0.45650216118164921</v>
      </c>
      <c r="B733" s="1632">
        <f t="shared" ca="1" si="23"/>
        <v>1.1949855011662771</v>
      </c>
      <c r="C733" s="1594">
        <v>721</v>
      </c>
      <c r="D733" s="1665">
        <v>2719365.4824631587</v>
      </c>
    </row>
    <row r="734" spans="1:4" ht="16">
      <c r="A734" s="1632">
        <f t="shared" ca="1" si="22"/>
        <v>0.38758448715084759</v>
      </c>
      <c r="B734" s="1632">
        <f t="shared" ca="1" si="23"/>
        <v>1.139317858048942</v>
      </c>
      <c r="C734" s="1594">
        <v>722</v>
      </c>
      <c r="D734" s="1665">
        <v>2719365.4824631587</v>
      </c>
    </row>
    <row r="735" spans="1:4" ht="16">
      <c r="A735" s="1632">
        <f t="shared" ca="1" si="22"/>
        <v>0.27654897523228505</v>
      </c>
      <c r="B735" s="1632">
        <f t="shared" ca="1" si="23"/>
        <v>1.0558540837962607</v>
      </c>
      <c r="C735" s="1594">
        <v>723</v>
      </c>
      <c r="D735" s="1665">
        <v>2719365.4824631587</v>
      </c>
    </row>
    <row r="736" spans="1:4" ht="16">
      <c r="A736" s="1632">
        <f t="shared" ca="1" si="22"/>
        <v>0.60169812019577562</v>
      </c>
      <c r="B736" s="1632">
        <f t="shared" ca="1" si="23"/>
        <v>1.325247824872388</v>
      </c>
      <c r="C736" s="1594">
        <v>724</v>
      </c>
      <c r="D736" s="1665">
        <v>2719365.4824631587</v>
      </c>
    </row>
    <row r="737" spans="1:4" ht="16">
      <c r="A737" s="1632">
        <f t="shared" ca="1" si="22"/>
        <v>9.7472890178950555E-2</v>
      </c>
      <c r="B737" s="1632">
        <f t="shared" ca="1" si="23"/>
        <v>0.9198821267976367</v>
      </c>
      <c r="C737" s="1594">
        <v>725</v>
      </c>
      <c r="D737" s="1665">
        <v>2719365.4824631587</v>
      </c>
    </row>
    <row r="738" spans="1:4" ht="16">
      <c r="A738" s="1632">
        <f t="shared" ca="1" si="22"/>
        <v>0.4813504789034877</v>
      </c>
      <c r="B738" s="1632">
        <f t="shared" ca="1" si="23"/>
        <v>1.2159158251091449</v>
      </c>
      <c r="C738" s="1594">
        <v>726</v>
      </c>
      <c r="D738" s="1665">
        <v>2719365.4824631587</v>
      </c>
    </row>
    <row r="739" spans="1:4" ht="16">
      <c r="A739" s="1632">
        <f t="shared" ca="1" si="22"/>
        <v>0.79321508120249506</v>
      </c>
      <c r="B739" s="1632">
        <f t="shared" ca="1" si="23"/>
        <v>1.541766292107114</v>
      </c>
      <c r="C739" s="1594">
        <v>727</v>
      </c>
      <c r="D739" s="1665">
        <v>2719365.4824631587</v>
      </c>
    </row>
    <row r="740" spans="1:4" ht="16">
      <c r="A740" s="1632">
        <f t="shared" ca="1" si="22"/>
        <v>0.11671149617692356</v>
      </c>
      <c r="B740" s="1632">
        <f t="shared" ca="1" si="23"/>
        <v>0.93777772362754397</v>
      </c>
      <c r="C740" s="1594">
        <v>728</v>
      </c>
      <c r="D740" s="1665">
        <v>2719365.4824631587</v>
      </c>
    </row>
    <row r="741" spans="1:4" ht="16">
      <c r="A741" s="1632">
        <f t="shared" ca="1" si="22"/>
        <v>0.32721719878356925</v>
      </c>
      <c r="B741" s="1632">
        <f t="shared" ca="1" si="23"/>
        <v>1.0930820880363876</v>
      </c>
      <c r="C741" s="1594">
        <v>729</v>
      </c>
      <c r="D741" s="1665">
        <v>2719365.4824631587</v>
      </c>
    </row>
    <row r="742" spans="1:4" ht="16">
      <c r="A742" s="1632">
        <f t="shared" ca="1" si="22"/>
        <v>0.15403858649863922</v>
      </c>
      <c r="B742" s="1632">
        <f t="shared" ca="1" si="23"/>
        <v>0.96870247829850165</v>
      </c>
      <c r="C742" s="1594">
        <v>730</v>
      </c>
      <c r="D742" s="1665">
        <v>2719365.4824631587</v>
      </c>
    </row>
    <row r="743" spans="1:4" ht="16">
      <c r="A743" s="1632">
        <f t="shared" ca="1" si="22"/>
        <v>0.67466632541390981</v>
      </c>
      <c r="B743" s="1632">
        <f t="shared" ca="1" si="23"/>
        <v>1.3998015655535654</v>
      </c>
      <c r="C743" s="1594">
        <v>731</v>
      </c>
      <c r="D743" s="1665">
        <v>2719365.4824631587</v>
      </c>
    </row>
    <row r="744" spans="1:4" ht="16">
      <c r="A744" s="1632">
        <f t="shared" ca="1" si="22"/>
        <v>0.69619281399079658</v>
      </c>
      <c r="B744" s="1632">
        <f t="shared" ca="1" si="23"/>
        <v>1.423363148124587</v>
      </c>
      <c r="C744" s="1594">
        <v>732</v>
      </c>
      <c r="D744" s="1665">
        <v>2719365.4824631587</v>
      </c>
    </row>
    <row r="745" spans="1:4" ht="16">
      <c r="A745" s="1632">
        <f t="shared" ca="1" si="22"/>
        <v>0.86650267680229454</v>
      </c>
      <c r="B745" s="1632">
        <f t="shared" ca="1" si="23"/>
        <v>1.651468545072988</v>
      </c>
      <c r="C745" s="1594">
        <v>733</v>
      </c>
      <c r="D745" s="1665">
        <v>2719365.4824631587</v>
      </c>
    </row>
    <row r="746" spans="1:4" ht="16">
      <c r="A746" s="1632">
        <f t="shared" ca="1" si="22"/>
        <v>0.31279083819771369</v>
      </c>
      <c r="B746" s="1632">
        <f t="shared" ca="1" si="23"/>
        <v>1.0823437678488645</v>
      </c>
      <c r="C746" s="1594">
        <v>734</v>
      </c>
      <c r="D746" s="1665">
        <v>2719365.4824631587</v>
      </c>
    </row>
    <row r="747" spans="1:4" ht="16">
      <c r="A747" s="1632">
        <f t="shared" ca="1" si="22"/>
        <v>0.24900146178317917</v>
      </c>
      <c r="B747" s="1632">
        <f t="shared" ca="1" si="23"/>
        <v>1.0361603517950888</v>
      </c>
      <c r="C747" s="1594">
        <v>735</v>
      </c>
      <c r="D747" s="1665">
        <v>2719365.4824631587</v>
      </c>
    </row>
    <row r="748" spans="1:4" ht="16">
      <c r="A748" s="1632">
        <f t="shared" ca="1" si="22"/>
        <v>0.41250765783671595</v>
      </c>
      <c r="B748" s="1632">
        <f t="shared" ca="1" si="23"/>
        <v>1.1590690994339334</v>
      </c>
      <c r="C748" s="1594">
        <v>736</v>
      </c>
      <c r="D748" s="1665">
        <v>2719365.4824631587</v>
      </c>
    </row>
    <row r="749" spans="1:4" ht="16">
      <c r="A749" s="1632">
        <f t="shared" ca="1" si="22"/>
        <v>0.87856668920793923</v>
      </c>
      <c r="B749" s="1632">
        <f t="shared" ca="1" si="23"/>
        <v>1.6722150080196414</v>
      </c>
      <c r="C749" s="1594">
        <v>737</v>
      </c>
      <c r="D749" s="1665">
        <v>2719365.4824631587</v>
      </c>
    </row>
    <row r="750" spans="1:4" ht="16">
      <c r="A750" s="1632">
        <f t="shared" ca="1" si="22"/>
        <v>0.47369127998787319</v>
      </c>
      <c r="B750" s="1632">
        <f t="shared" ca="1" si="23"/>
        <v>1.2094118566597267</v>
      </c>
      <c r="C750" s="1594">
        <v>738</v>
      </c>
      <c r="D750" s="1665">
        <v>2719365.4824631587</v>
      </c>
    </row>
    <row r="751" spans="1:4" ht="16">
      <c r="A751" s="1632">
        <f t="shared" ca="1" si="22"/>
        <v>0.77744764302161162</v>
      </c>
      <c r="B751" s="1632">
        <f t="shared" ca="1" si="23"/>
        <v>1.5208744506012266</v>
      </c>
      <c r="C751" s="1594">
        <v>739</v>
      </c>
      <c r="D751" s="1665">
        <v>2719365.4824631587</v>
      </c>
    </row>
    <row r="752" spans="1:4" ht="16">
      <c r="A752" s="1632">
        <f t="shared" ca="1" si="22"/>
        <v>0.66063688898460482</v>
      </c>
      <c r="B752" s="1632">
        <f t="shared" ca="1" si="23"/>
        <v>1.3848635037279942</v>
      </c>
      <c r="C752" s="1594">
        <v>740</v>
      </c>
      <c r="D752" s="1665">
        <v>2719365.4824631587</v>
      </c>
    </row>
    <row r="753" spans="1:4" ht="16">
      <c r="A753" s="1632">
        <f t="shared" ca="1" si="22"/>
        <v>0.61685327145818047</v>
      </c>
      <c r="B753" s="1632">
        <f t="shared" ca="1" si="23"/>
        <v>1.3401301954199509</v>
      </c>
      <c r="C753" s="1594">
        <v>741</v>
      </c>
      <c r="D753" s="1665">
        <v>2719365.4824631587</v>
      </c>
    </row>
    <row r="754" spans="1:4" ht="16">
      <c r="A754" s="1632">
        <f t="shared" ca="1" si="22"/>
        <v>0.15344497176392669</v>
      </c>
      <c r="B754" s="1632">
        <f t="shared" ca="1" si="23"/>
        <v>0.96824209337452627</v>
      </c>
      <c r="C754" s="1594">
        <v>742</v>
      </c>
      <c r="D754" s="1665">
        <v>2719365.4824631587</v>
      </c>
    </row>
    <row r="755" spans="1:4" ht="16">
      <c r="A755" s="1632">
        <f t="shared" ca="1" si="22"/>
        <v>0.7555017570533662</v>
      </c>
      <c r="B755" s="1632">
        <f t="shared" ca="1" si="23"/>
        <v>1.4929918846336756</v>
      </c>
      <c r="C755" s="1594">
        <v>743</v>
      </c>
      <c r="D755" s="1665">
        <v>2719365.4824631587</v>
      </c>
    </row>
    <row r="756" spans="1:4" ht="16">
      <c r="A756" s="1632">
        <f t="shared" ca="1" si="22"/>
        <v>0.44280392529774992</v>
      </c>
      <c r="B756" s="1632">
        <f t="shared" ca="1" si="23"/>
        <v>1.1836515484946293</v>
      </c>
      <c r="C756" s="1594">
        <v>744</v>
      </c>
      <c r="D756" s="1665">
        <v>2719365.4824631587</v>
      </c>
    </row>
    <row r="757" spans="1:4" ht="16">
      <c r="A757" s="1632">
        <f t="shared" ca="1" si="22"/>
        <v>0.70748753583348933</v>
      </c>
      <c r="B757" s="1632">
        <f t="shared" ca="1" si="23"/>
        <v>1.4360600301993172</v>
      </c>
      <c r="C757" s="1594">
        <v>745</v>
      </c>
      <c r="D757" s="1665">
        <v>2719365.4824631587</v>
      </c>
    </row>
    <row r="758" spans="1:4" ht="16">
      <c r="A758" s="1632">
        <f t="shared" ca="1" si="22"/>
        <v>0.22937353942936112</v>
      </c>
      <c r="B758" s="1632">
        <f t="shared" ca="1" si="23"/>
        <v>1.022347887266047</v>
      </c>
      <c r="C758" s="1594">
        <v>746</v>
      </c>
      <c r="D758" s="1665">
        <v>2719365.4824631587</v>
      </c>
    </row>
    <row r="759" spans="1:4" ht="16">
      <c r="A759" s="1632">
        <f t="shared" ca="1" si="22"/>
        <v>0.89801195222666208</v>
      </c>
      <c r="B759" s="1632">
        <f t="shared" ca="1" si="23"/>
        <v>1.7079592011098588</v>
      </c>
      <c r="C759" s="1594">
        <v>747</v>
      </c>
      <c r="D759" s="1665">
        <v>2719365.4824631587</v>
      </c>
    </row>
    <row r="760" spans="1:4" ht="16">
      <c r="A760" s="1632">
        <f t="shared" ca="1" si="22"/>
        <v>0.38553359674122489</v>
      </c>
      <c r="B760" s="1632">
        <f t="shared" ca="1" si="23"/>
        <v>1.1377106102055503</v>
      </c>
      <c r="C760" s="1594">
        <v>748</v>
      </c>
      <c r="D760" s="1665">
        <v>2719365.4824631587</v>
      </c>
    </row>
    <row r="761" spans="1:4" ht="16">
      <c r="A761" s="1632">
        <f t="shared" ca="1" si="22"/>
        <v>4.7044000592825763E-2</v>
      </c>
      <c r="B761" s="1632">
        <f t="shared" ca="1" si="23"/>
        <v>0.86191503257508695</v>
      </c>
      <c r="C761" s="1594">
        <v>749</v>
      </c>
      <c r="D761" s="1665">
        <v>2719365.4824631587</v>
      </c>
    </row>
    <row r="762" spans="1:4" ht="16">
      <c r="A762" s="1632">
        <f t="shared" ca="1" si="22"/>
        <v>0.87395101934194031</v>
      </c>
      <c r="B762" s="1632">
        <f t="shared" ca="1" si="23"/>
        <v>1.6641607935812843</v>
      </c>
      <c r="C762" s="1594">
        <v>750</v>
      </c>
      <c r="D762" s="1665">
        <v>2719365.4824631587</v>
      </c>
    </row>
    <row r="763" spans="1:4" ht="16">
      <c r="A763" s="1632">
        <f t="shared" ca="1" si="22"/>
        <v>0.25691893284509493</v>
      </c>
      <c r="B763" s="1632">
        <f t="shared" ca="1" si="23"/>
        <v>1.0417830240435366</v>
      </c>
      <c r="C763" s="1594">
        <v>751</v>
      </c>
      <c r="D763" s="1665">
        <v>2719365.4824631587</v>
      </c>
    </row>
    <row r="764" spans="1:4" ht="16">
      <c r="A764" s="1632">
        <f t="shared" ca="1" si="22"/>
        <v>0.29604829386094711</v>
      </c>
      <c r="B764" s="1632">
        <f t="shared" ca="1" si="23"/>
        <v>1.0700217375344503</v>
      </c>
      <c r="C764" s="1594">
        <v>752</v>
      </c>
      <c r="D764" s="1665">
        <v>2719365.4824631587</v>
      </c>
    </row>
    <row r="765" spans="1:4" ht="16">
      <c r="A765" s="1632">
        <f t="shared" ca="1" si="22"/>
        <v>0.7337979694826432</v>
      </c>
      <c r="B765" s="1632">
        <f t="shared" ca="1" si="23"/>
        <v>1.4666229716909078</v>
      </c>
      <c r="C765" s="1594">
        <v>753</v>
      </c>
      <c r="D765" s="1665">
        <v>2719365.4824631587</v>
      </c>
    </row>
    <row r="766" spans="1:4" ht="16">
      <c r="A766" s="1632">
        <f t="shared" ca="1" si="22"/>
        <v>0.57390720024353281</v>
      </c>
      <c r="B766" s="1632">
        <f t="shared" ca="1" si="23"/>
        <v>1.2986749415917433</v>
      </c>
      <c r="C766" s="1594">
        <v>754</v>
      </c>
      <c r="D766" s="1665">
        <v>2719365.4824631587</v>
      </c>
    </row>
    <row r="767" spans="1:4" ht="16">
      <c r="A767" s="1632">
        <f t="shared" ca="1" si="22"/>
        <v>0.98402490789271224</v>
      </c>
      <c r="B767" s="1632">
        <f t="shared" ca="1" si="23"/>
        <v>1.9448405213798312</v>
      </c>
      <c r="C767" s="1594">
        <v>755</v>
      </c>
      <c r="D767" s="1665">
        <v>2719365.4824631587</v>
      </c>
    </row>
    <row r="768" spans="1:4" ht="16">
      <c r="A768" s="1632">
        <f t="shared" ca="1" si="22"/>
        <v>0.30470944575005243</v>
      </c>
      <c r="B768" s="1632">
        <f t="shared" ca="1" si="23"/>
        <v>1.0763775768113171</v>
      </c>
      <c r="C768" s="1594">
        <v>756</v>
      </c>
      <c r="D768" s="1665">
        <v>2719365.4824631587</v>
      </c>
    </row>
    <row r="769" spans="1:4" ht="16">
      <c r="A769" s="1632">
        <f t="shared" ca="1" si="22"/>
        <v>0.17852748819665398</v>
      </c>
      <c r="B769" s="1632">
        <f t="shared" ca="1" si="23"/>
        <v>0.98697727114268741</v>
      </c>
      <c r="C769" s="1594">
        <v>757</v>
      </c>
      <c r="D769" s="1665">
        <v>2719365.4824631587</v>
      </c>
    </row>
    <row r="770" spans="1:4" ht="16">
      <c r="A770" s="1632">
        <f t="shared" ca="1" si="22"/>
        <v>0.50699760519584214</v>
      </c>
      <c r="B770" s="1632">
        <f t="shared" ca="1" si="23"/>
        <v>1.2380518525051141</v>
      </c>
      <c r="C770" s="1594">
        <v>758</v>
      </c>
      <c r="D770" s="1665">
        <v>2719365.4824631587</v>
      </c>
    </row>
    <row r="771" spans="1:4" ht="16">
      <c r="A771" s="1632">
        <f t="shared" ca="1" si="22"/>
        <v>0.32549176932460377</v>
      </c>
      <c r="B771" s="1632">
        <f t="shared" ca="1" si="23"/>
        <v>1.0917917359851577</v>
      </c>
      <c r="C771" s="1594">
        <v>759</v>
      </c>
      <c r="D771" s="1665">
        <v>2719365.4824631587</v>
      </c>
    </row>
    <row r="772" spans="1:4" ht="16">
      <c r="A772" s="1632">
        <f t="shared" ca="1" si="22"/>
        <v>0.17975910196489708</v>
      </c>
      <c r="B772" s="1632">
        <f t="shared" ca="1" si="23"/>
        <v>0.98786215662019006</v>
      </c>
      <c r="C772" s="1594">
        <v>760</v>
      </c>
      <c r="D772" s="1665">
        <v>2719365.4824631587</v>
      </c>
    </row>
    <row r="773" spans="1:4" ht="16">
      <c r="A773" s="1632">
        <f t="shared" ca="1" si="22"/>
        <v>0.22382620886516014</v>
      </c>
      <c r="B773" s="1632">
        <f t="shared" ca="1" si="23"/>
        <v>1.018476119893692</v>
      </c>
      <c r="C773" s="1594">
        <v>761</v>
      </c>
      <c r="D773" s="1665">
        <v>2719365.4824631587</v>
      </c>
    </row>
    <row r="774" spans="1:4" ht="16">
      <c r="A774" s="1632">
        <f t="shared" ca="1" si="22"/>
        <v>0.16976336350844978</v>
      </c>
      <c r="B774" s="1632">
        <f t="shared" ca="1" si="23"/>
        <v>0.98059023955807934</v>
      </c>
      <c r="C774" s="1594">
        <v>762</v>
      </c>
      <c r="D774" s="1665">
        <v>2719365.4824631587</v>
      </c>
    </row>
    <row r="775" spans="1:4" ht="16">
      <c r="A775" s="1632">
        <f t="shared" ca="1" si="22"/>
        <v>0.10422815713848932</v>
      </c>
      <c r="B775" s="1632">
        <f t="shared" ca="1" si="23"/>
        <v>0.92635171332465416</v>
      </c>
      <c r="C775" s="1594">
        <v>763</v>
      </c>
      <c r="D775" s="1665">
        <v>2719365.4824631587</v>
      </c>
    </row>
    <row r="776" spans="1:4" ht="16">
      <c r="A776" s="1632">
        <f t="shared" ca="1" si="22"/>
        <v>0.69575563310972044</v>
      </c>
      <c r="B776" s="1632">
        <f t="shared" ca="1" si="23"/>
        <v>1.422876480320133</v>
      </c>
      <c r="C776" s="1594">
        <v>764</v>
      </c>
      <c r="D776" s="1665">
        <v>2719365.4824631587</v>
      </c>
    </row>
    <row r="777" spans="1:4" ht="16">
      <c r="A777" s="1632">
        <f t="shared" ca="1" si="22"/>
        <v>0.45573830553104278</v>
      </c>
      <c r="B777" s="1632">
        <f t="shared" ca="1" si="23"/>
        <v>1.1943497509718675</v>
      </c>
      <c r="C777" s="1594">
        <v>765</v>
      </c>
      <c r="D777" s="1665">
        <v>2719365.4824631587</v>
      </c>
    </row>
    <row r="778" spans="1:4" ht="16">
      <c r="A778" s="1632">
        <f t="shared" ca="1" si="22"/>
        <v>0.15911112540853212</v>
      </c>
      <c r="B778" s="1632">
        <f t="shared" ca="1" si="23"/>
        <v>0.97260091774067137</v>
      </c>
      <c r="C778" s="1594">
        <v>766</v>
      </c>
      <c r="D778" s="1665">
        <v>2719365.4824631587</v>
      </c>
    </row>
    <row r="779" spans="1:4" ht="16">
      <c r="A779" s="1632">
        <f t="shared" ca="1" si="22"/>
        <v>0.52461654131714175</v>
      </c>
      <c r="B779" s="1632">
        <f t="shared" ca="1" si="23"/>
        <v>1.2535941444938681</v>
      </c>
      <c r="C779" s="1594">
        <v>767</v>
      </c>
      <c r="D779" s="1665">
        <v>2719365.4824631587</v>
      </c>
    </row>
    <row r="780" spans="1:4" ht="16">
      <c r="A780" s="1632">
        <f t="shared" ca="1" si="22"/>
        <v>0.94988391767005376</v>
      </c>
      <c r="B780" s="1632">
        <f t="shared" ca="1" si="23"/>
        <v>1.8251819946378531</v>
      </c>
      <c r="C780" s="1594">
        <v>768</v>
      </c>
      <c r="D780" s="1665">
        <v>2719365.4824631587</v>
      </c>
    </row>
    <row r="781" spans="1:4" ht="16">
      <c r="A781" s="1632">
        <f t="shared" ref="A781:A844" ca="1" si="24">RAND()</f>
        <v>0.52310783218213441</v>
      </c>
      <c r="B781" s="1632">
        <f t="shared" ref="B781:B844" ca="1" si="25">IF(A781&lt;=(B$5-B$4)/(B$6-B$4),$B$4+SQRT(A781*(B$6-B$4)*(B$5-B$4)),B$6-SQRT((1-A781)*(B$6-B$4)*(-B$5+B$6)))</f>
        <v>1.2522521029801823</v>
      </c>
      <c r="C781" s="1594">
        <v>769</v>
      </c>
      <c r="D781" s="1665">
        <v>2719365.4824631587</v>
      </c>
    </row>
    <row r="782" spans="1:4" ht="16">
      <c r="A782" s="1632">
        <f t="shared" ca="1" si="24"/>
        <v>0.36044836657124679</v>
      </c>
      <c r="B782" s="1632">
        <f t="shared" ca="1" si="25"/>
        <v>1.1182646427997356</v>
      </c>
      <c r="C782" s="1594">
        <v>770</v>
      </c>
      <c r="D782" s="1665">
        <v>2719365.4824631587</v>
      </c>
    </row>
    <row r="783" spans="1:4" ht="16">
      <c r="A783" s="1632">
        <f t="shared" ca="1" si="24"/>
        <v>0.66638482079171768</v>
      </c>
      <c r="B783" s="1632">
        <f t="shared" ca="1" si="25"/>
        <v>1.3909456473112365</v>
      </c>
      <c r="C783" s="1594">
        <v>771</v>
      </c>
      <c r="D783" s="1665">
        <v>2719365.4824631587</v>
      </c>
    </row>
    <row r="784" spans="1:4" ht="16">
      <c r="A784" s="1632">
        <f t="shared" ca="1" si="24"/>
        <v>0.30793212952730653</v>
      </c>
      <c r="B784" s="1632">
        <f t="shared" ca="1" si="25"/>
        <v>1.0787525859017566</v>
      </c>
      <c r="C784" s="1594">
        <v>772</v>
      </c>
      <c r="D784" s="1665">
        <v>2719365.4824631587</v>
      </c>
    </row>
    <row r="785" spans="1:4" ht="16">
      <c r="A785" s="1632">
        <f t="shared" ca="1" si="24"/>
        <v>5.1138405174244284E-2</v>
      </c>
      <c r="B785" s="1632">
        <f t="shared" ca="1" si="25"/>
        <v>0.86753579924497104</v>
      </c>
      <c r="C785" s="1594">
        <v>773</v>
      </c>
      <c r="D785" s="1665">
        <v>2719365.4824631587</v>
      </c>
    </row>
    <row r="786" spans="1:4" ht="16">
      <c r="A786" s="1632">
        <f t="shared" ca="1" si="24"/>
        <v>0.55235204057849885</v>
      </c>
      <c r="B786" s="1632">
        <f t="shared" ca="1" si="25"/>
        <v>1.2786562991973445</v>
      </c>
      <c r="C786" s="1594">
        <v>774</v>
      </c>
      <c r="D786" s="1665">
        <v>2719365.4824631587</v>
      </c>
    </row>
    <row r="787" spans="1:4" ht="16">
      <c r="A787" s="1632">
        <f t="shared" ca="1" si="24"/>
        <v>0.88100826085804118</v>
      </c>
      <c r="B787" s="1632">
        <f t="shared" ca="1" si="25"/>
        <v>1.6765374268168061</v>
      </c>
      <c r="C787" s="1594">
        <v>775</v>
      </c>
      <c r="D787" s="1665">
        <v>2719365.4824631587</v>
      </c>
    </row>
    <row r="788" spans="1:4" ht="16">
      <c r="A788" s="1632">
        <f t="shared" ca="1" si="24"/>
        <v>0.66307067680250831</v>
      </c>
      <c r="B788" s="1632">
        <f t="shared" ca="1" si="25"/>
        <v>1.3874324663173181</v>
      </c>
      <c r="C788" s="1594">
        <v>776</v>
      </c>
      <c r="D788" s="1665">
        <v>2719365.4824631587</v>
      </c>
    </row>
    <row r="789" spans="1:4" ht="16">
      <c r="A789" s="1632">
        <f t="shared" ca="1" si="24"/>
        <v>0.9106196714021485</v>
      </c>
      <c r="B789" s="1632">
        <f t="shared" ca="1" si="25"/>
        <v>1.7329902519047182</v>
      </c>
      <c r="C789" s="1594">
        <v>777</v>
      </c>
      <c r="D789" s="1665">
        <v>2719365.4824631587</v>
      </c>
    </row>
    <row r="790" spans="1:4" ht="16">
      <c r="A790" s="1632">
        <f t="shared" ca="1" si="24"/>
        <v>0.84798994094933111</v>
      </c>
      <c r="B790" s="1632">
        <f t="shared" ca="1" si="25"/>
        <v>1.6213778536367567</v>
      </c>
      <c r="C790" s="1594">
        <v>778</v>
      </c>
      <c r="D790" s="1665">
        <v>2719365.4824631587</v>
      </c>
    </row>
    <row r="791" spans="1:4" ht="16">
      <c r="A791" s="1632">
        <f t="shared" ca="1" si="24"/>
        <v>0.86970441011922262</v>
      </c>
      <c r="B791" s="1632">
        <f t="shared" ca="1" si="25"/>
        <v>1.6568798651039072</v>
      </c>
      <c r="C791" s="1594">
        <v>779</v>
      </c>
      <c r="D791" s="1665">
        <v>2719365.4824631587</v>
      </c>
    </row>
    <row r="792" spans="1:4" ht="16">
      <c r="A792" s="1632">
        <f t="shared" ca="1" si="24"/>
        <v>0.91904691756267365</v>
      </c>
      <c r="B792" s="1632">
        <f t="shared" ca="1" si="25"/>
        <v>1.7507203194672631</v>
      </c>
      <c r="C792" s="1594">
        <v>780</v>
      </c>
      <c r="D792" s="1665">
        <v>2719365.4824631587</v>
      </c>
    </row>
    <row r="793" spans="1:4" ht="16">
      <c r="A793" s="1632">
        <f t="shared" ca="1" si="24"/>
        <v>8.349473945496011E-3</v>
      </c>
      <c r="B793" s="1632">
        <f t="shared" ca="1" si="25"/>
        <v>0.78557400842515301</v>
      </c>
      <c r="C793" s="1594">
        <v>781</v>
      </c>
      <c r="D793" s="1665">
        <v>2719365.4824631587</v>
      </c>
    </row>
    <row r="794" spans="1:4" ht="16">
      <c r="A794" s="1632">
        <f t="shared" ca="1" si="24"/>
        <v>0.72157808454467598</v>
      </c>
      <c r="B794" s="1632">
        <f t="shared" ca="1" si="25"/>
        <v>1.4522486382946207</v>
      </c>
      <c r="C794" s="1594">
        <v>782</v>
      </c>
      <c r="D794" s="1665">
        <v>2719365.4824631587</v>
      </c>
    </row>
    <row r="795" spans="1:4" ht="16">
      <c r="A795" s="1632">
        <f t="shared" ca="1" si="24"/>
        <v>0.56431805339277841</v>
      </c>
      <c r="B795" s="1632">
        <f t="shared" ca="1" si="25"/>
        <v>1.2897082664021045</v>
      </c>
      <c r="C795" s="1594">
        <v>783</v>
      </c>
      <c r="D795" s="1665">
        <v>2719365.4824631587</v>
      </c>
    </row>
    <row r="796" spans="1:4" ht="16">
      <c r="A796" s="1632">
        <f t="shared" ca="1" si="24"/>
        <v>0.43432377023689062</v>
      </c>
      <c r="B796" s="1632">
        <f t="shared" ca="1" si="25"/>
        <v>1.1767047718887498</v>
      </c>
      <c r="C796" s="1594">
        <v>784</v>
      </c>
      <c r="D796" s="1665">
        <v>2719365.4824631587</v>
      </c>
    </row>
    <row r="797" spans="1:4" ht="16">
      <c r="A797" s="1632">
        <f t="shared" ca="1" si="24"/>
        <v>0.4359770760551297</v>
      </c>
      <c r="B797" s="1632">
        <f t="shared" ca="1" si="25"/>
        <v>1.1780550198710773</v>
      </c>
      <c r="C797" s="1594">
        <v>785</v>
      </c>
      <c r="D797" s="1665">
        <v>2719365.4824631587</v>
      </c>
    </row>
    <row r="798" spans="1:4" ht="16">
      <c r="A798" s="1632">
        <f t="shared" ca="1" si="24"/>
        <v>0.69720800802069827</v>
      </c>
      <c r="B798" s="1632">
        <f t="shared" ca="1" si="25"/>
        <v>1.4244946100046221</v>
      </c>
      <c r="C798" s="1594">
        <v>786</v>
      </c>
      <c r="D798" s="1665">
        <v>2719365.4824631587</v>
      </c>
    </row>
    <row r="799" spans="1:4" ht="16">
      <c r="A799" s="1632">
        <f t="shared" ca="1" si="24"/>
        <v>0.7101155179808758</v>
      </c>
      <c r="B799" s="1632">
        <f t="shared" ca="1" si="25"/>
        <v>1.4390492345092412</v>
      </c>
      <c r="C799" s="1594">
        <v>787</v>
      </c>
      <c r="D799" s="1665">
        <v>2719365.4824631587</v>
      </c>
    </row>
    <row r="800" spans="1:4" ht="16">
      <c r="A800" s="1632">
        <f t="shared" ca="1" si="24"/>
        <v>0.72909329063503925</v>
      </c>
      <c r="B800" s="1632">
        <f t="shared" ca="1" si="25"/>
        <v>1.461050541112213</v>
      </c>
      <c r="C800" s="1594">
        <v>788</v>
      </c>
      <c r="D800" s="1665">
        <v>2719365.4824631587</v>
      </c>
    </row>
    <row r="801" spans="1:4" ht="16">
      <c r="A801" s="1632">
        <f t="shared" ca="1" si="24"/>
        <v>2.0002965430416797E-2</v>
      </c>
      <c r="B801" s="1632">
        <f t="shared" ca="1" si="25"/>
        <v>0.81601800342202302</v>
      </c>
      <c r="C801" s="1594">
        <v>789</v>
      </c>
      <c r="D801" s="1665">
        <v>2719365.4824631587</v>
      </c>
    </row>
    <row r="802" spans="1:4" ht="16">
      <c r="A802" s="1632">
        <f t="shared" ca="1" si="24"/>
        <v>0.13752217627427044</v>
      </c>
      <c r="B802" s="1632">
        <f t="shared" ca="1" si="25"/>
        <v>0.95554257470343074</v>
      </c>
      <c r="C802" s="1594">
        <v>790</v>
      </c>
      <c r="D802" s="1665">
        <v>2719365.4824631587</v>
      </c>
    </row>
    <row r="803" spans="1:4" ht="16">
      <c r="A803" s="1632">
        <f t="shared" ca="1" si="24"/>
        <v>0.7332418070067418</v>
      </c>
      <c r="B803" s="1632">
        <f t="shared" ca="1" si="25"/>
        <v>1.4659616755740705</v>
      </c>
      <c r="C803" s="1594">
        <v>791</v>
      </c>
      <c r="D803" s="1665">
        <v>2719365.4824631587</v>
      </c>
    </row>
    <row r="804" spans="1:4" ht="16">
      <c r="A804" s="1632">
        <f t="shared" ca="1" si="24"/>
        <v>0.7665342387956221</v>
      </c>
      <c r="B804" s="1632">
        <f t="shared" ca="1" si="25"/>
        <v>1.5068449594456796</v>
      </c>
      <c r="C804" s="1594">
        <v>792</v>
      </c>
      <c r="D804" s="1665">
        <v>2719365.4824631587</v>
      </c>
    </row>
    <row r="805" spans="1:4" ht="16">
      <c r="A805" s="1632">
        <f t="shared" ca="1" si="24"/>
        <v>0.16953637435026492</v>
      </c>
      <c r="B805" s="1632">
        <f t="shared" ca="1" si="25"/>
        <v>0.98042265247409821</v>
      </c>
      <c r="C805" s="1594">
        <v>793</v>
      </c>
      <c r="D805" s="1665">
        <v>2719365.4824631587</v>
      </c>
    </row>
    <row r="806" spans="1:4" ht="16">
      <c r="A806" s="1632">
        <f t="shared" ca="1" si="24"/>
        <v>0.39795891210262968</v>
      </c>
      <c r="B806" s="1632">
        <f t="shared" ca="1" si="25"/>
        <v>1.1474896748794072</v>
      </c>
      <c r="C806" s="1594">
        <v>794</v>
      </c>
      <c r="D806" s="1665">
        <v>2719365.4824631587</v>
      </c>
    </row>
    <row r="807" spans="1:4" ht="16">
      <c r="A807" s="1632">
        <f t="shared" ca="1" si="24"/>
        <v>0.10321503126224674</v>
      </c>
      <c r="B807" s="1632">
        <f t="shared" ca="1" si="25"/>
        <v>0.9253950871027854</v>
      </c>
      <c r="C807" s="1594">
        <v>795</v>
      </c>
      <c r="D807" s="1665">
        <v>2719365.4824631587</v>
      </c>
    </row>
    <row r="808" spans="1:4" ht="16">
      <c r="A808" s="1632">
        <f t="shared" ca="1" si="24"/>
        <v>0.51281941734425929</v>
      </c>
      <c r="B808" s="1632">
        <f t="shared" ca="1" si="25"/>
        <v>1.243156293095292</v>
      </c>
      <c r="C808" s="1594">
        <v>796</v>
      </c>
      <c r="D808" s="1665">
        <v>2719365.4824631587</v>
      </c>
    </row>
    <row r="809" spans="1:4" ht="16">
      <c r="A809" s="1632">
        <f t="shared" ca="1" si="24"/>
        <v>1.6837626625631152E-2</v>
      </c>
      <c r="B809" s="1632">
        <f t="shared" ca="1" si="25"/>
        <v>0.80891918707653399</v>
      </c>
      <c r="C809" s="1594">
        <v>797</v>
      </c>
      <c r="D809" s="1665">
        <v>2719365.4824631587</v>
      </c>
    </row>
    <row r="810" spans="1:4" ht="16">
      <c r="A810" s="1632">
        <f t="shared" ca="1" si="24"/>
        <v>0.42671480478355783</v>
      </c>
      <c r="B810" s="1632">
        <f t="shared" ca="1" si="25"/>
        <v>1.1705158477998787</v>
      </c>
      <c r="C810" s="1594">
        <v>798</v>
      </c>
      <c r="D810" s="1665">
        <v>2719365.4824631587</v>
      </c>
    </row>
    <row r="811" spans="1:4" ht="16">
      <c r="A811" s="1632">
        <f t="shared" ca="1" si="24"/>
        <v>0.11788112333976186</v>
      </c>
      <c r="B811" s="1632">
        <f t="shared" ca="1" si="25"/>
        <v>0.93881625301536731</v>
      </c>
      <c r="C811" s="1594">
        <v>799</v>
      </c>
      <c r="D811" s="1665">
        <v>2719365.4824631587</v>
      </c>
    </row>
    <row r="812" spans="1:4" ht="16">
      <c r="A812" s="1632">
        <f t="shared" ca="1" si="24"/>
        <v>0.44682587157941456</v>
      </c>
      <c r="B812" s="1632">
        <f t="shared" ca="1" si="25"/>
        <v>1.1869647260210467</v>
      </c>
      <c r="C812" s="1594">
        <v>800</v>
      </c>
      <c r="D812" s="1665">
        <v>2719365.4824631587</v>
      </c>
    </row>
    <row r="813" spans="1:4" ht="16">
      <c r="A813" s="1632">
        <f t="shared" ca="1" si="24"/>
        <v>0.93092540813560143</v>
      </c>
      <c r="B813" s="1632">
        <f t="shared" ca="1" si="25"/>
        <v>1.7773617971478757</v>
      </c>
      <c r="C813" s="1594">
        <v>801</v>
      </c>
      <c r="D813" s="1665">
        <v>2719365.4824631587</v>
      </c>
    </row>
    <row r="814" spans="1:4" ht="16">
      <c r="A814" s="1632">
        <f t="shared" ca="1" si="24"/>
        <v>6.2398300682316998E-2</v>
      </c>
      <c r="B814" s="1632">
        <f t="shared" ca="1" si="25"/>
        <v>0.88192475579177032</v>
      </c>
      <c r="C814" s="1594">
        <v>802</v>
      </c>
      <c r="D814" s="1665">
        <v>2719365.4824631587</v>
      </c>
    </row>
    <row r="815" spans="1:4" ht="16">
      <c r="A815" s="1632">
        <f t="shared" ca="1" si="24"/>
        <v>0.23747181569075926</v>
      </c>
      <c r="B815" s="1632">
        <f t="shared" ca="1" si="25"/>
        <v>1.0280251991049296</v>
      </c>
      <c r="C815" s="1594">
        <v>803</v>
      </c>
      <c r="D815" s="1665">
        <v>2719365.4824631587</v>
      </c>
    </row>
    <row r="816" spans="1:4" ht="16">
      <c r="A816" s="1632">
        <f t="shared" ca="1" si="24"/>
        <v>0.74927533157544979</v>
      </c>
      <c r="B816" s="1632">
        <f t="shared" ca="1" si="25"/>
        <v>1.4853113997186891</v>
      </c>
      <c r="C816" s="1594">
        <v>804</v>
      </c>
      <c r="D816" s="1665">
        <v>2719365.4824631587</v>
      </c>
    </row>
    <row r="817" spans="1:4" ht="16">
      <c r="A817" s="1632">
        <f t="shared" ca="1" si="24"/>
        <v>0.46076670760418215</v>
      </c>
      <c r="B817" s="1632">
        <f t="shared" ca="1" si="25"/>
        <v>1.198543083868953</v>
      </c>
      <c r="C817" s="1594">
        <v>805</v>
      </c>
      <c r="D817" s="1665">
        <v>2719365.4824631587</v>
      </c>
    </row>
    <row r="818" spans="1:4" ht="16">
      <c r="A818" s="1632">
        <f t="shared" ca="1" si="24"/>
        <v>0.34409779646386529</v>
      </c>
      <c r="B818" s="1632">
        <f t="shared" ca="1" si="25"/>
        <v>1.1057944776209725</v>
      </c>
      <c r="C818" s="1594">
        <v>806</v>
      </c>
      <c r="D818" s="1665">
        <v>2719365.4824631587</v>
      </c>
    </row>
    <row r="819" spans="1:4" ht="16">
      <c r="A819" s="1632">
        <f t="shared" ca="1" si="24"/>
        <v>0.88890691723536741</v>
      </c>
      <c r="B819" s="1632">
        <f t="shared" ca="1" si="25"/>
        <v>1.6908334376732364</v>
      </c>
      <c r="C819" s="1594">
        <v>807</v>
      </c>
      <c r="D819" s="1665">
        <v>2719365.4824631587</v>
      </c>
    </row>
    <row r="820" spans="1:4" ht="16">
      <c r="A820" s="1632">
        <f t="shared" ca="1" si="24"/>
        <v>0.15229806578800087</v>
      </c>
      <c r="B820" s="1632">
        <f t="shared" ca="1" si="25"/>
        <v>0.96735006748467867</v>
      </c>
      <c r="C820" s="1594">
        <v>808</v>
      </c>
      <c r="D820" s="1665">
        <v>2719365.4824631587</v>
      </c>
    </row>
    <row r="821" spans="1:4" ht="16">
      <c r="A821" s="1632">
        <f t="shared" ca="1" si="24"/>
        <v>0.6803346517888067</v>
      </c>
      <c r="B821" s="1632">
        <f t="shared" ca="1" si="25"/>
        <v>1.4059281883304378</v>
      </c>
      <c r="C821" s="1594">
        <v>809</v>
      </c>
      <c r="D821" s="1665">
        <v>2719365.4824631587</v>
      </c>
    </row>
    <row r="822" spans="1:4" ht="16">
      <c r="A822" s="1632">
        <f t="shared" ca="1" si="24"/>
        <v>0.30204655653052614</v>
      </c>
      <c r="B822" s="1632">
        <f t="shared" ca="1" si="25"/>
        <v>1.0744192672887731</v>
      </c>
      <c r="C822" s="1594">
        <v>810</v>
      </c>
      <c r="D822" s="1665">
        <v>2719365.4824631587</v>
      </c>
    </row>
    <row r="823" spans="1:4" ht="16">
      <c r="A823" s="1632">
        <f t="shared" ca="1" si="24"/>
        <v>3.8937430424056507E-2</v>
      </c>
      <c r="B823" s="1632">
        <f t="shared" ca="1" si="25"/>
        <v>0.85001231400926536</v>
      </c>
      <c r="C823" s="1594">
        <v>811</v>
      </c>
      <c r="D823" s="1665">
        <v>2719365.4824631587</v>
      </c>
    </row>
    <row r="824" spans="1:4" ht="16">
      <c r="A824" s="1632">
        <f t="shared" ca="1" si="24"/>
        <v>0.12520030602087451</v>
      </c>
      <c r="B824" s="1632">
        <f t="shared" ca="1" si="25"/>
        <v>0.94520128530545877</v>
      </c>
      <c r="C824" s="1594">
        <v>812</v>
      </c>
      <c r="D824" s="1665">
        <v>2719365.4824631587</v>
      </c>
    </row>
    <row r="825" spans="1:4" ht="16">
      <c r="A825" s="1632">
        <f t="shared" ca="1" si="24"/>
        <v>0.2688896995631338</v>
      </c>
      <c r="B825" s="1632">
        <f t="shared" ca="1" si="25"/>
        <v>1.0503413779907502</v>
      </c>
      <c r="C825" s="1594">
        <v>813</v>
      </c>
      <c r="D825" s="1665">
        <v>2719365.4824631587</v>
      </c>
    </row>
    <row r="826" spans="1:4" ht="16">
      <c r="A826" s="1632">
        <f t="shared" ca="1" si="24"/>
        <v>0.64263463893906259</v>
      </c>
      <c r="B826" s="1632">
        <f t="shared" ca="1" si="25"/>
        <v>1.3661406135240672</v>
      </c>
      <c r="C826" s="1594">
        <v>814</v>
      </c>
      <c r="D826" s="1665">
        <v>2719365.4824631587</v>
      </c>
    </row>
    <row r="827" spans="1:4" ht="16">
      <c r="A827" s="1632">
        <f t="shared" ca="1" si="24"/>
        <v>0.28920130651254095</v>
      </c>
      <c r="B827" s="1632">
        <f t="shared" ca="1" si="25"/>
        <v>1.065024816198185</v>
      </c>
      <c r="C827" s="1594">
        <v>815</v>
      </c>
      <c r="D827" s="1665">
        <v>2719365.4824631587</v>
      </c>
    </row>
    <row r="828" spans="1:4" ht="16">
      <c r="A828" s="1632">
        <f t="shared" ca="1" si="24"/>
        <v>0.32497991325220033</v>
      </c>
      <c r="B828" s="1632">
        <f t="shared" ca="1" si="25"/>
        <v>1.0914092649994576</v>
      </c>
      <c r="C828" s="1594">
        <v>816</v>
      </c>
      <c r="D828" s="1665">
        <v>2719365.4824631587</v>
      </c>
    </row>
    <row r="829" spans="1:4" ht="16">
      <c r="A829" s="1632">
        <f t="shared" ca="1" si="24"/>
        <v>0.95237050319315775</v>
      </c>
      <c r="B829" s="1632">
        <f t="shared" ca="1" si="25"/>
        <v>1.8320864846859881</v>
      </c>
      <c r="C829" s="1594">
        <v>817</v>
      </c>
      <c r="D829" s="1665">
        <v>2719365.4824631587</v>
      </c>
    </row>
    <row r="830" spans="1:4" ht="16">
      <c r="A830" s="1632">
        <f t="shared" ca="1" si="24"/>
        <v>0.6720744541955046</v>
      </c>
      <c r="B830" s="1632">
        <f t="shared" ca="1" si="25"/>
        <v>1.3970179251734973</v>
      </c>
      <c r="C830" s="1594">
        <v>818</v>
      </c>
      <c r="D830" s="1665">
        <v>2719365.4824631587</v>
      </c>
    </row>
    <row r="831" spans="1:4" ht="16">
      <c r="A831" s="1632">
        <f t="shared" ca="1" si="24"/>
        <v>0.16787096042791583</v>
      </c>
      <c r="B831" s="1632">
        <f t="shared" ca="1" si="25"/>
        <v>0.97918962310314217</v>
      </c>
      <c r="C831" s="1594">
        <v>819</v>
      </c>
      <c r="D831" s="1665">
        <v>2719365.4824631587</v>
      </c>
    </row>
    <row r="832" spans="1:4" ht="16">
      <c r="A832" s="1632">
        <f t="shared" ca="1" si="24"/>
        <v>0.4204479264650256</v>
      </c>
      <c r="B832" s="1632">
        <f t="shared" ca="1" si="25"/>
        <v>1.1654493192891002</v>
      </c>
      <c r="C832" s="1594">
        <v>820</v>
      </c>
      <c r="D832" s="1665">
        <v>2719365.4824631587</v>
      </c>
    </row>
    <row r="833" spans="1:4" ht="16">
      <c r="A833" s="1632">
        <f t="shared" ca="1" si="24"/>
        <v>0.92353044139848794</v>
      </c>
      <c r="B833" s="1632">
        <f t="shared" ca="1" si="25"/>
        <v>1.7605303771874741</v>
      </c>
      <c r="C833" s="1594">
        <v>821</v>
      </c>
      <c r="D833" s="1665">
        <v>2719365.4824631587</v>
      </c>
    </row>
    <row r="834" spans="1:4" ht="16">
      <c r="A834" s="1632">
        <f t="shared" ca="1" si="24"/>
        <v>0.43777257367413502</v>
      </c>
      <c r="B834" s="1632">
        <f t="shared" ca="1" si="25"/>
        <v>1.1795236388298294</v>
      </c>
      <c r="C834" s="1594">
        <v>822</v>
      </c>
      <c r="D834" s="1665">
        <v>2719365.4824631587</v>
      </c>
    </row>
    <row r="835" spans="1:4" ht="16">
      <c r="A835" s="1632">
        <f t="shared" ca="1" si="24"/>
        <v>0.58330129998376989</v>
      </c>
      <c r="B835" s="1632">
        <f t="shared" ca="1" si="25"/>
        <v>1.3075576103435287</v>
      </c>
      <c r="C835" s="1594">
        <v>823</v>
      </c>
      <c r="D835" s="1665">
        <v>2719365.4824631587</v>
      </c>
    </row>
    <row r="836" spans="1:4" ht="16">
      <c r="A836" s="1632">
        <f t="shared" ca="1" si="24"/>
        <v>0.48402537542957058</v>
      </c>
      <c r="B836" s="1632">
        <f t="shared" ca="1" si="25"/>
        <v>1.2181985715436627</v>
      </c>
      <c r="C836" s="1594">
        <v>824</v>
      </c>
      <c r="D836" s="1665">
        <v>2719365.4824631587</v>
      </c>
    </row>
    <row r="837" spans="1:4" ht="16">
      <c r="A837" s="1632">
        <f t="shared" ca="1" si="24"/>
        <v>0.16995485613158201</v>
      </c>
      <c r="B837" s="1632">
        <f t="shared" ca="1" si="25"/>
        <v>0.98073153228717003</v>
      </c>
      <c r="C837" s="1594">
        <v>825</v>
      </c>
      <c r="D837" s="1665">
        <v>2719365.4824631587</v>
      </c>
    </row>
    <row r="838" spans="1:4" ht="16">
      <c r="A838" s="1632">
        <f t="shared" ca="1" si="24"/>
        <v>0.55936558906494871</v>
      </c>
      <c r="B838" s="1632">
        <f t="shared" ca="1" si="25"/>
        <v>1.2851159240240841</v>
      </c>
      <c r="C838" s="1594">
        <v>826</v>
      </c>
      <c r="D838" s="1665">
        <v>2719365.4824631587</v>
      </c>
    </row>
    <row r="839" spans="1:4" ht="16">
      <c r="A839" s="1632">
        <f t="shared" ca="1" si="24"/>
        <v>0.60866582123681523</v>
      </c>
      <c r="B839" s="1632">
        <f t="shared" ca="1" si="25"/>
        <v>1.3320542939789823</v>
      </c>
      <c r="C839" s="1594">
        <v>827</v>
      </c>
      <c r="D839" s="1665">
        <v>2719365.4824631587</v>
      </c>
    </row>
    <row r="840" spans="1:4" ht="16">
      <c r="A840" s="1632">
        <f t="shared" ca="1" si="24"/>
        <v>0.27204778952102837</v>
      </c>
      <c r="B840" s="1632">
        <f t="shared" ca="1" si="25"/>
        <v>1.0526108740340052</v>
      </c>
      <c r="C840" s="1594">
        <v>828</v>
      </c>
      <c r="D840" s="1665">
        <v>2719365.4824631587</v>
      </c>
    </row>
    <row r="841" spans="1:4" ht="16">
      <c r="A841" s="1632">
        <f t="shared" ca="1" si="24"/>
        <v>0.16043722286667017</v>
      </c>
      <c r="B841" s="1632">
        <f t="shared" ca="1" si="25"/>
        <v>0.97360978785422658</v>
      </c>
      <c r="C841" s="1594">
        <v>829</v>
      </c>
      <c r="D841" s="1665">
        <v>2719365.4824631587</v>
      </c>
    </row>
    <row r="842" spans="1:4" ht="16">
      <c r="A842" s="1632">
        <f t="shared" ca="1" si="24"/>
        <v>0.65009825684631251</v>
      </c>
      <c r="B842" s="1632">
        <f t="shared" ca="1" si="25"/>
        <v>1.3738444196092638</v>
      </c>
      <c r="C842" s="1594">
        <v>830</v>
      </c>
      <c r="D842" s="1665">
        <v>2719365.4824631587</v>
      </c>
    </row>
    <row r="843" spans="1:4" ht="16">
      <c r="A843" s="1632">
        <f t="shared" ca="1" si="24"/>
        <v>0.44414397038273679</v>
      </c>
      <c r="B843" s="1632">
        <f t="shared" ca="1" si="25"/>
        <v>1.1847541113814191</v>
      </c>
      <c r="C843" s="1594">
        <v>831</v>
      </c>
      <c r="D843" s="1665">
        <v>2719365.4824631587</v>
      </c>
    </row>
    <row r="844" spans="1:4" ht="16">
      <c r="A844" s="1632">
        <f t="shared" ca="1" si="24"/>
        <v>0.60737381949425628</v>
      </c>
      <c r="B844" s="1632">
        <f t="shared" ca="1" si="25"/>
        <v>1.3307876404905108</v>
      </c>
      <c r="C844" s="1594">
        <v>832</v>
      </c>
      <c r="D844" s="1665">
        <v>2719365.4824631587</v>
      </c>
    </row>
    <row r="845" spans="1:4" ht="16">
      <c r="A845" s="1632">
        <f t="shared" ref="A845:A908" ca="1" si="26">RAND()</f>
        <v>0.6447745245244787</v>
      </c>
      <c r="B845" s="1632">
        <f t="shared" ref="B845:B908" ca="1" si="27">IF(A845&lt;=(B$5-B$4)/(B$6-B$4),$B$4+SQRT(A845*(B$6-B$4)*(B$5-B$4)),B$6-SQRT((1-A845)*(B$6-B$4)*(-B$5+B$6)))</f>
        <v>1.3683410688431319</v>
      </c>
      <c r="C845" s="1594">
        <v>833</v>
      </c>
      <c r="D845" s="1665">
        <v>2719365.4824631587</v>
      </c>
    </row>
    <row r="846" spans="1:4" ht="16">
      <c r="A846" s="1632">
        <f t="shared" ca="1" si="26"/>
        <v>0.80511162581135409</v>
      </c>
      <c r="B846" s="1632">
        <f t="shared" ca="1" si="27"/>
        <v>1.5580620147080579</v>
      </c>
      <c r="C846" s="1594">
        <v>834</v>
      </c>
      <c r="D846" s="1665">
        <v>2719365.4824631587</v>
      </c>
    </row>
    <row r="847" spans="1:4" ht="16">
      <c r="A847" s="1632">
        <f t="shared" ca="1" si="26"/>
        <v>6.2967540748006146E-2</v>
      </c>
      <c r="B847" s="1632">
        <f t="shared" ca="1" si="27"/>
        <v>0.88261616337297788</v>
      </c>
      <c r="C847" s="1594">
        <v>835</v>
      </c>
      <c r="D847" s="1665">
        <v>2719365.4824631587</v>
      </c>
    </row>
    <row r="848" spans="1:4" ht="16">
      <c r="A848" s="1632">
        <f t="shared" ca="1" si="26"/>
        <v>0.75357607617833178</v>
      </c>
      <c r="B848" s="1632">
        <f t="shared" ca="1" si="27"/>
        <v>1.4906061592046946</v>
      </c>
      <c r="C848" s="1594">
        <v>836</v>
      </c>
      <c r="D848" s="1665">
        <v>2719365.4824631587</v>
      </c>
    </row>
    <row r="849" spans="1:4" ht="16">
      <c r="A849" s="1632">
        <f t="shared" ca="1" si="26"/>
        <v>0.79060076440149607</v>
      </c>
      <c r="B849" s="1632">
        <f t="shared" ca="1" si="27"/>
        <v>1.5382485887450346</v>
      </c>
      <c r="C849" s="1594">
        <v>837</v>
      </c>
      <c r="D849" s="1665">
        <v>2719365.4824631587</v>
      </c>
    </row>
    <row r="850" spans="1:4" ht="16">
      <c r="A850" s="1632">
        <f t="shared" ca="1" si="26"/>
        <v>0.94961190209399793</v>
      </c>
      <c r="B850" s="1632">
        <f t="shared" ca="1" si="27"/>
        <v>1.8244371876606986</v>
      </c>
      <c r="C850" s="1594">
        <v>838</v>
      </c>
      <c r="D850" s="1665">
        <v>2719365.4824631587</v>
      </c>
    </row>
    <row r="851" spans="1:4" ht="16">
      <c r="A851" s="1632">
        <f t="shared" ca="1" si="26"/>
        <v>0.59475423986538978</v>
      </c>
      <c r="B851" s="1632">
        <f t="shared" ca="1" si="27"/>
        <v>1.3185236020692259</v>
      </c>
      <c r="C851" s="1594">
        <v>839</v>
      </c>
      <c r="D851" s="1665">
        <v>2719365.4824631587</v>
      </c>
    </row>
    <row r="852" spans="1:4" ht="16">
      <c r="A852" s="1632">
        <f t="shared" ca="1" si="26"/>
        <v>0.19422030973137894</v>
      </c>
      <c r="B852" s="1632">
        <f t="shared" ca="1" si="27"/>
        <v>0.99803375266864636</v>
      </c>
      <c r="C852" s="1594">
        <v>840</v>
      </c>
      <c r="D852" s="1665">
        <v>2719365.4824631587</v>
      </c>
    </row>
    <row r="853" spans="1:4" ht="16">
      <c r="A853" s="1632">
        <f t="shared" ca="1" si="26"/>
        <v>0.66393481475726879</v>
      </c>
      <c r="B853" s="1632">
        <f t="shared" ca="1" si="27"/>
        <v>1.3883468301477215</v>
      </c>
      <c r="C853" s="1594">
        <v>841</v>
      </c>
      <c r="D853" s="1665">
        <v>2719365.4824631587</v>
      </c>
    </row>
    <row r="854" spans="1:4" ht="16">
      <c r="A854" s="1632">
        <f t="shared" ca="1" si="26"/>
        <v>0.9119125385049448</v>
      </c>
      <c r="B854" s="1632">
        <f t="shared" ca="1" si="27"/>
        <v>1.7356542789148635</v>
      </c>
      <c r="C854" s="1594">
        <v>842</v>
      </c>
      <c r="D854" s="1665">
        <v>2719365.4824631587</v>
      </c>
    </row>
    <row r="855" spans="1:4" ht="16">
      <c r="A855" s="1632">
        <f t="shared" ca="1" si="26"/>
        <v>0.73128825989424628</v>
      </c>
      <c r="B855" s="1632">
        <f t="shared" ca="1" si="27"/>
        <v>1.4636442878865856</v>
      </c>
      <c r="C855" s="1594">
        <v>843</v>
      </c>
      <c r="D855" s="1665">
        <v>2719365.4824631587</v>
      </c>
    </row>
    <row r="856" spans="1:4" ht="16">
      <c r="A856" s="1632">
        <f t="shared" ca="1" si="26"/>
        <v>0.52125896409806693</v>
      </c>
      <c r="B856" s="1632">
        <f t="shared" ca="1" si="27"/>
        <v>1.2506103714406367</v>
      </c>
      <c r="C856" s="1594">
        <v>844</v>
      </c>
      <c r="D856" s="1665">
        <v>2719365.4824631587</v>
      </c>
    </row>
    <row r="857" spans="1:4" ht="16">
      <c r="A857" s="1632">
        <f t="shared" ca="1" si="26"/>
        <v>0.69041784516563209</v>
      </c>
      <c r="B857" s="1632">
        <f t="shared" ca="1" si="27"/>
        <v>1.4169624407579096</v>
      </c>
      <c r="C857" s="1594">
        <v>845</v>
      </c>
      <c r="D857" s="1665">
        <v>2719365.4824631587</v>
      </c>
    </row>
    <row r="858" spans="1:4" ht="16">
      <c r="A858" s="1632">
        <f t="shared" ca="1" si="26"/>
        <v>0.95246705977212021</v>
      </c>
      <c r="B858" s="1632">
        <f t="shared" ca="1" si="27"/>
        <v>1.8323581853980682</v>
      </c>
      <c r="C858" s="1594">
        <v>846</v>
      </c>
      <c r="D858" s="1665">
        <v>2719365.4824631587</v>
      </c>
    </row>
    <row r="859" spans="1:4" ht="16">
      <c r="A859" s="1632">
        <f t="shared" ca="1" si="26"/>
        <v>0.25712879326572669</v>
      </c>
      <c r="B859" s="1632">
        <f t="shared" ca="1" si="27"/>
        <v>1.0419324650342259</v>
      </c>
      <c r="C859" s="1594">
        <v>847</v>
      </c>
      <c r="D859" s="1665">
        <v>2719365.4824631587</v>
      </c>
    </row>
    <row r="860" spans="1:4" ht="16">
      <c r="A860" s="1632">
        <f t="shared" ca="1" si="26"/>
        <v>8.0647785283943452E-2</v>
      </c>
      <c r="B860" s="1632">
        <f t="shared" ca="1" si="27"/>
        <v>0.90271831337912811</v>
      </c>
      <c r="C860" s="1594">
        <v>848</v>
      </c>
      <c r="D860" s="1665">
        <v>2719365.4824631587</v>
      </c>
    </row>
    <row r="861" spans="1:4" ht="16">
      <c r="A861" s="1632">
        <f t="shared" ca="1" si="26"/>
        <v>0.11178798209717677</v>
      </c>
      <c r="B861" s="1632">
        <f t="shared" ca="1" si="27"/>
        <v>0.93334791510548043</v>
      </c>
      <c r="C861" s="1594">
        <v>849</v>
      </c>
      <c r="D861" s="1665">
        <v>2719365.4824631587</v>
      </c>
    </row>
    <row r="862" spans="1:4" ht="16">
      <c r="A862" s="1632">
        <f t="shared" ca="1" si="26"/>
        <v>0.14074873786875308</v>
      </c>
      <c r="B862" s="1632">
        <f t="shared" ca="1" si="27"/>
        <v>0.95817308810999546</v>
      </c>
      <c r="C862" s="1594">
        <v>850</v>
      </c>
      <c r="D862" s="1665">
        <v>2719365.4824631587</v>
      </c>
    </row>
    <row r="863" spans="1:4" ht="16">
      <c r="A863" s="1632">
        <f t="shared" ca="1" si="26"/>
        <v>2.8403546678774649E-2</v>
      </c>
      <c r="B863" s="1632">
        <f t="shared" ca="1" si="27"/>
        <v>0.83250108251369226</v>
      </c>
      <c r="C863" s="1594">
        <v>851</v>
      </c>
      <c r="D863" s="1665">
        <v>2719365.4824631587</v>
      </c>
    </row>
    <row r="864" spans="1:4" ht="16">
      <c r="A864" s="1632">
        <f t="shared" ca="1" si="26"/>
        <v>0.53158286105601771</v>
      </c>
      <c r="B864" s="1632">
        <f t="shared" ca="1" si="27"/>
        <v>1.2598186931449966</v>
      </c>
      <c r="C864" s="1594">
        <v>852</v>
      </c>
      <c r="D864" s="1665">
        <v>2719365.4824631587</v>
      </c>
    </row>
    <row r="865" spans="1:4" ht="16">
      <c r="A865" s="1632">
        <f t="shared" ca="1" si="26"/>
        <v>0.3164347047436068</v>
      </c>
      <c r="B865" s="1632">
        <f t="shared" ca="1" si="27"/>
        <v>1.0850453704961072</v>
      </c>
      <c r="C865" s="1594">
        <v>853</v>
      </c>
      <c r="D865" s="1665">
        <v>2719365.4824631587</v>
      </c>
    </row>
    <row r="866" spans="1:4" ht="16">
      <c r="A866" s="1632">
        <f t="shared" ca="1" si="26"/>
        <v>3.3691850398618217E-2</v>
      </c>
      <c r="B866" s="1632">
        <f t="shared" ca="1" si="27"/>
        <v>0.8416360849476946</v>
      </c>
      <c r="C866" s="1594">
        <v>854</v>
      </c>
      <c r="D866" s="1665">
        <v>2719365.4824631587</v>
      </c>
    </row>
    <row r="867" spans="1:4" ht="16">
      <c r="A867" s="1632">
        <f t="shared" ca="1" si="26"/>
        <v>0.10068429920408395</v>
      </c>
      <c r="B867" s="1632">
        <f t="shared" ca="1" si="27"/>
        <v>0.92298477213394492</v>
      </c>
      <c r="C867" s="1594">
        <v>855</v>
      </c>
      <c r="D867" s="1665">
        <v>2719365.4824631587</v>
      </c>
    </row>
    <row r="868" spans="1:4" ht="16">
      <c r="A868" s="1632">
        <f t="shared" ca="1" si="26"/>
        <v>0.11420431734893832</v>
      </c>
      <c r="B868" s="1632">
        <f t="shared" ca="1" si="27"/>
        <v>0.93553388282074634</v>
      </c>
      <c r="C868" s="1594">
        <v>856</v>
      </c>
      <c r="D868" s="1665">
        <v>2719365.4824631587</v>
      </c>
    </row>
    <row r="869" spans="1:4" ht="16">
      <c r="A869" s="1632">
        <f t="shared" ca="1" si="26"/>
        <v>3.1411924511844713E-2</v>
      </c>
      <c r="B869" s="1632">
        <f t="shared" ca="1" si="27"/>
        <v>0.83779272181799358</v>
      </c>
      <c r="C869" s="1594">
        <v>857</v>
      </c>
      <c r="D869" s="1665">
        <v>2719365.4824631587</v>
      </c>
    </row>
    <row r="870" spans="1:4" ht="16">
      <c r="A870" s="1632">
        <f t="shared" ca="1" si="26"/>
        <v>0.89115728339005884</v>
      </c>
      <c r="B870" s="1632">
        <f t="shared" ca="1" si="27"/>
        <v>1.6949987976176104</v>
      </c>
      <c r="C870" s="1594">
        <v>858</v>
      </c>
      <c r="D870" s="1665">
        <v>2719365.4824631587</v>
      </c>
    </row>
    <row r="871" spans="1:4" ht="16">
      <c r="A871" s="1632">
        <f t="shared" ca="1" si="26"/>
        <v>0.41635074231620861</v>
      </c>
      <c r="B871" s="1632">
        <f t="shared" ca="1" si="27"/>
        <v>1.1621517013239968</v>
      </c>
      <c r="C871" s="1594">
        <v>859</v>
      </c>
      <c r="D871" s="1665">
        <v>2719365.4824631587</v>
      </c>
    </row>
    <row r="872" spans="1:4" ht="16">
      <c r="A872" s="1632">
        <f t="shared" ca="1" si="26"/>
        <v>3.910733582822512E-2</v>
      </c>
      <c r="B872" s="1632">
        <f t="shared" ca="1" si="27"/>
        <v>0.85027386882802292</v>
      </c>
      <c r="C872" s="1594">
        <v>860</v>
      </c>
      <c r="D872" s="1665">
        <v>2719365.4824631587</v>
      </c>
    </row>
    <row r="873" spans="1:4" ht="16">
      <c r="A873" s="1632">
        <f t="shared" ca="1" si="26"/>
        <v>1.2083837272749309E-2</v>
      </c>
      <c r="B873" s="1632">
        <f t="shared" ca="1" si="27"/>
        <v>0.79685664818991431</v>
      </c>
      <c r="C873" s="1594">
        <v>861</v>
      </c>
      <c r="D873" s="1665">
        <v>2719365.4824631587</v>
      </c>
    </row>
    <row r="874" spans="1:4" ht="16">
      <c r="A874" s="1632">
        <f t="shared" ca="1" si="26"/>
        <v>0.75666728605881706</v>
      </c>
      <c r="B874" s="1632">
        <f t="shared" ca="1" si="27"/>
        <v>1.4944404241452682</v>
      </c>
      <c r="C874" s="1594">
        <v>862</v>
      </c>
      <c r="D874" s="1665">
        <v>2719365.4824631587</v>
      </c>
    </row>
    <row r="875" spans="1:4" ht="16">
      <c r="A875" s="1632">
        <f t="shared" ca="1" si="26"/>
        <v>0.31404635533790715</v>
      </c>
      <c r="B875" s="1632">
        <f t="shared" ca="1" si="27"/>
        <v>1.0832738114390021</v>
      </c>
      <c r="C875" s="1594">
        <v>863</v>
      </c>
      <c r="D875" s="1665">
        <v>2719365.4824631587</v>
      </c>
    </row>
    <row r="876" spans="1:4" ht="16">
      <c r="A876" s="1632">
        <f t="shared" ca="1" si="26"/>
        <v>0.68993242913338415</v>
      </c>
      <c r="B876" s="1632">
        <f t="shared" ca="1" si="27"/>
        <v>1.4164271587489816</v>
      </c>
      <c r="C876" s="1594">
        <v>864</v>
      </c>
      <c r="D876" s="1665">
        <v>2719365.4824631587</v>
      </c>
    </row>
    <row r="877" spans="1:4" ht="16">
      <c r="A877" s="1632">
        <f t="shared" ca="1" si="26"/>
        <v>0.75385981641874045</v>
      </c>
      <c r="B877" s="1632">
        <f t="shared" ca="1" si="27"/>
        <v>1.490957097851918</v>
      </c>
      <c r="C877" s="1594">
        <v>865</v>
      </c>
      <c r="D877" s="1665">
        <v>2719365.4824631587</v>
      </c>
    </row>
    <row r="878" spans="1:4" ht="16">
      <c r="A878" s="1632">
        <f t="shared" ca="1" si="26"/>
        <v>0.35354423665098977</v>
      </c>
      <c r="B878" s="1632">
        <f t="shared" ca="1" si="27"/>
        <v>1.1129798201825059</v>
      </c>
      <c r="C878" s="1594">
        <v>866</v>
      </c>
      <c r="D878" s="1665">
        <v>2719365.4824631587</v>
      </c>
    </row>
    <row r="879" spans="1:4" ht="16">
      <c r="A879" s="1632">
        <f t="shared" ca="1" si="26"/>
        <v>0.6178279842699218</v>
      </c>
      <c r="B879" s="1632">
        <f t="shared" ca="1" si="27"/>
        <v>1.3410973529462242</v>
      </c>
      <c r="C879" s="1594">
        <v>867</v>
      </c>
      <c r="D879" s="1665">
        <v>2719365.4824631587</v>
      </c>
    </row>
    <row r="880" spans="1:4" ht="16">
      <c r="A880" s="1632">
        <f t="shared" ca="1" si="26"/>
        <v>0.18429075793034899</v>
      </c>
      <c r="B880" s="1632">
        <f t="shared" ca="1" si="27"/>
        <v>0.99109222768676219</v>
      </c>
      <c r="C880" s="1594">
        <v>868</v>
      </c>
      <c r="D880" s="1665">
        <v>2719365.4824631587</v>
      </c>
    </row>
    <row r="881" spans="1:4" ht="16">
      <c r="A881" s="1632">
        <f t="shared" ca="1" si="26"/>
        <v>0.91286278630741025</v>
      </c>
      <c r="B881" s="1632">
        <f t="shared" ca="1" si="27"/>
        <v>1.7376248062646495</v>
      </c>
      <c r="C881" s="1594">
        <v>869</v>
      </c>
      <c r="D881" s="1665">
        <v>2719365.4824631587</v>
      </c>
    </row>
    <row r="882" spans="1:4" ht="16">
      <c r="A882" s="1632">
        <f t="shared" ca="1" si="26"/>
        <v>0.32780953040479377</v>
      </c>
      <c r="B882" s="1632">
        <f t="shared" ca="1" si="27"/>
        <v>1.0935254411163808</v>
      </c>
      <c r="C882" s="1594">
        <v>870</v>
      </c>
      <c r="D882" s="1665">
        <v>2719365.4824631587</v>
      </c>
    </row>
    <row r="883" spans="1:4" ht="16">
      <c r="A883" s="1632">
        <f t="shared" ca="1" si="26"/>
        <v>0.87461234925042786</v>
      </c>
      <c r="B883" s="1632">
        <f t="shared" ca="1" si="27"/>
        <v>1.6653056364759198</v>
      </c>
      <c r="C883" s="1594">
        <v>871</v>
      </c>
      <c r="D883" s="1665">
        <v>2719365.4824631587</v>
      </c>
    </row>
    <row r="884" spans="1:4" ht="16">
      <c r="A884" s="1632">
        <f t="shared" ca="1" si="26"/>
        <v>0.32350928978388671</v>
      </c>
      <c r="B884" s="1632">
        <f t="shared" ca="1" si="27"/>
        <v>1.0903111864065826</v>
      </c>
      <c r="C884" s="1594">
        <v>872</v>
      </c>
      <c r="D884" s="1665">
        <v>2719365.4824631587</v>
      </c>
    </row>
    <row r="885" spans="1:4" ht="16">
      <c r="A885" s="1632">
        <f t="shared" ca="1" si="26"/>
        <v>0.55461171700513312</v>
      </c>
      <c r="B885" s="1632">
        <f t="shared" ca="1" si="27"/>
        <v>1.2807319471178775</v>
      </c>
      <c r="C885" s="1594">
        <v>873</v>
      </c>
      <c r="D885" s="1665">
        <v>2719365.4824631587</v>
      </c>
    </row>
    <row r="886" spans="1:4" ht="16">
      <c r="A886" s="1632">
        <f t="shared" ca="1" si="26"/>
        <v>0.56003735189188553</v>
      </c>
      <c r="B886" s="1632">
        <f t="shared" ca="1" si="27"/>
        <v>1.2857373208239689</v>
      </c>
      <c r="C886" s="1594">
        <v>874</v>
      </c>
      <c r="D886" s="1665">
        <v>2719365.4824631587</v>
      </c>
    </row>
    <row r="887" spans="1:4" ht="16">
      <c r="A887" s="1632">
        <f t="shared" ca="1" si="26"/>
        <v>0.63156602627589165</v>
      </c>
      <c r="B887" s="1632">
        <f t="shared" ca="1" si="27"/>
        <v>1.3548624298814138</v>
      </c>
      <c r="C887" s="1594">
        <v>875</v>
      </c>
      <c r="D887" s="1665">
        <v>2719365.4824631587</v>
      </c>
    </row>
    <row r="888" spans="1:4" ht="16">
      <c r="A888" s="1632">
        <f t="shared" ca="1" si="26"/>
        <v>0.59114062242273713</v>
      </c>
      <c r="B888" s="1632">
        <f t="shared" ca="1" si="27"/>
        <v>1.3150470829349477</v>
      </c>
      <c r="C888" s="1594">
        <v>876</v>
      </c>
      <c r="D888" s="1665">
        <v>2719365.4824631587</v>
      </c>
    </row>
    <row r="889" spans="1:4" ht="16">
      <c r="A889" s="1632">
        <f t="shared" ca="1" si="26"/>
        <v>0.3356222731085704</v>
      </c>
      <c r="B889" s="1632">
        <f t="shared" ca="1" si="27"/>
        <v>1.0993915678821289</v>
      </c>
      <c r="C889" s="1594">
        <v>877</v>
      </c>
      <c r="D889" s="1665">
        <v>2719365.4824631587</v>
      </c>
    </row>
    <row r="890" spans="1:4" ht="16">
      <c r="A890" s="1632">
        <f t="shared" ca="1" si="26"/>
        <v>0.72530862203188318</v>
      </c>
      <c r="B890" s="1632">
        <f t="shared" ca="1" si="27"/>
        <v>1.4566028391436965</v>
      </c>
      <c r="C890" s="1594">
        <v>878</v>
      </c>
      <c r="D890" s="1665">
        <v>2719365.4824631587</v>
      </c>
    </row>
    <row r="891" spans="1:4" ht="16">
      <c r="A891" s="1632">
        <f t="shared" ca="1" si="26"/>
        <v>0.45200717355915676</v>
      </c>
      <c r="B891" s="1632">
        <f t="shared" ca="1" si="27"/>
        <v>1.1912507554631198</v>
      </c>
      <c r="C891" s="1594">
        <v>879</v>
      </c>
      <c r="D891" s="1665">
        <v>2719365.4824631587</v>
      </c>
    </row>
    <row r="892" spans="1:4" ht="16">
      <c r="A892" s="1632">
        <f t="shared" ca="1" si="26"/>
        <v>0.43315783320147383</v>
      </c>
      <c r="B892" s="1632">
        <f t="shared" ca="1" si="27"/>
        <v>1.1757537420333373</v>
      </c>
      <c r="C892" s="1594">
        <v>880</v>
      </c>
      <c r="D892" s="1665">
        <v>2719365.4824631587</v>
      </c>
    </row>
    <row r="893" spans="1:4" ht="16">
      <c r="A893" s="1632">
        <f t="shared" ca="1" si="26"/>
        <v>2.2817175337378037E-2</v>
      </c>
      <c r="B893" s="1632">
        <f t="shared" ca="1" si="27"/>
        <v>0.82186987078088292</v>
      </c>
      <c r="C893" s="1594">
        <v>881</v>
      </c>
      <c r="D893" s="1665">
        <v>2719365.4824631587</v>
      </c>
    </row>
    <row r="894" spans="1:4" ht="16">
      <c r="A894" s="1632">
        <f t="shared" ca="1" si="26"/>
        <v>0.11262250221755543</v>
      </c>
      <c r="B894" s="1632">
        <f t="shared" ca="1" si="27"/>
        <v>0.93410552067563912</v>
      </c>
      <c r="C894" s="1594">
        <v>882</v>
      </c>
      <c r="D894" s="1665">
        <v>2719365.4824631587</v>
      </c>
    </row>
    <row r="895" spans="1:4" ht="16">
      <c r="A895" s="1632">
        <f t="shared" ca="1" si="26"/>
        <v>0.80611375036573596</v>
      </c>
      <c r="B895" s="1632">
        <f t="shared" ca="1" si="27"/>
        <v>1.5594571449007621</v>
      </c>
      <c r="C895" s="1594">
        <v>883</v>
      </c>
      <c r="D895" s="1665">
        <v>2719365.4824631587</v>
      </c>
    </row>
    <row r="896" spans="1:4" ht="16">
      <c r="A896" s="1632">
        <f t="shared" ca="1" si="26"/>
        <v>0.75929151226581759</v>
      </c>
      <c r="B896" s="1632">
        <f t="shared" ca="1" si="27"/>
        <v>1.4977146099933911</v>
      </c>
      <c r="C896" s="1594">
        <v>884</v>
      </c>
      <c r="D896" s="1665">
        <v>2719365.4824631587</v>
      </c>
    </row>
    <row r="897" spans="1:4" ht="16">
      <c r="A897" s="1632">
        <f t="shared" ca="1" si="26"/>
        <v>0.31479919743506013</v>
      </c>
      <c r="B897" s="1632">
        <f t="shared" ca="1" si="27"/>
        <v>1.0838318990120954</v>
      </c>
      <c r="C897" s="1594">
        <v>885</v>
      </c>
      <c r="D897" s="1665">
        <v>2719365.4824631587</v>
      </c>
    </row>
    <row r="898" spans="1:4" ht="16">
      <c r="A898" s="1632">
        <f t="shared" ca="1" si="26"/>
        <v>0.80543657968406257</v>
      </c>
      <c r="B898" s="1632">
        <f t="shared" ca="1" si="27"/>
        <v>1.5585140127241355</v>
      </c>
      <c r="C898" s="1594">
        <v>886</v>
      </c>
      <c r="D898" s="1665">
        <v>2719365.4824631587</v>
      </c>
    </row>
    <row r="899" spans="1:4" ht="16">
      <c r="A899" s="1632">
        <f t="shared" ca="1" si="26"/>
        <v>0.13714609614040651</v>
      </c>
      <c r="B899" s="1632">
        <f t="shared" ca="1" si="27"/>
        <v>0.95523396937925764</v>
      </c>
      <c r="C899" s="1594">
        <v>887</v>
      </c>
      <c r="D899" s="1665">
        <v>2719365.4824631587</v>
      </c>
    </row>
    <row r="900" spans="1:4" ht="16">
      <c r="A900" s="1632">
        <f t="shared" ca="1" si="26"/>
        <v>0.31759988618202684</v>
      </c>
      <c r="B900" s="1632">
        <f t="shared" ca="1" si="27"/>
        <v>1.0859107674747328</v>
      </c>
      <c r="C900" s="1594">
        <v>888</v>
      </c>
      <c r="D900" s="1665">
        <v>2719365.4824631587</v>
      </c>
    </row>
    <row r="901" spans="1:4" ht="16">
      <c r="A901" s="1632">
        <f t="shared" ca="1" si="26"/>
        <v>0.2994735952939046</v>
      </c>
      <c r="B901" s="1632">
        <f t="shared" ca="1" si="27"/>
        <v>1.0725306370056158</v>
      </c>
      <c r="C901" s="1594">
        <v>889</v>
      </c>
      <c r="D901" s="1665">
        <v>2719365.4824631587</v>
      </c>
    </row>
    <row r="902" spans="1:4" ht="16">
      <c r="A902" s="1632">
        <f t="shared" ca="1" si="26"/>
        <v>0.1010465229142874</v>
      </c>
      <c r="B902" s="1632">
        <f t="shared" ca="1" si="27"/>
        <v>0.92333160327787822</v>
      </c>
      <c r="C902" s="1594">
        <v>890</v>
      </c>
      <c r="D902" s="1665">
        <v>2719365.4824631587</v>
      </c>
    </row>
    <row r="903" spans="1:4" ht="16">
      <c r="A903" s="1632">
        <f t="shared" ca="1" si="26"/>
        <v>0.95348858193348651</v>
      </c>
      <c r="B903" s="1632">
        <f t="shared" ca="1" si="27"/>
        <v>1.8352497270516313</v>
      </c>
      <c r="C903" s="1594">
        <v>891</v>
      </c>
      <c r="D903" s="1665">
        <v>2719365.4824631587</v>
      </c>
    </row>
    <row r="904" spans="1:4" ht="16">
      <c r="A904" s="1632">
        <f t="shared" ca="1" si="26"/>
        <v>0.18661913370739192</v>
      </c>
      <c r="B904" s="1632">
        <f t="shared" ca="1" si="27"/>
        <v>0.99273640318456868</v>
      </c>
      <c r="C904" s="1594">
        <v>892</v>
      </c>
      <c r="D904" s="1665">
        <v>2719365.4824631587</v>
      </c>
    </row>
    <row r="905" spans="1:4" ht="16">
      <c r="A905" s="1632">
        <f t="shared" ca="1" si="26"/>
        <v>0.14577020020979092</v>
      </c>
      <c r="B905" s="1632">
        <f t="shared" ca="1" si="27"/>
        <v>0.96220765934310104</v>
      </c>
      <c r="C905" s="1594">
        <v>893</v>
      </c>
      <c r="D905" s="1665">
        <v>2719365.4824631587</v>
      </c>
    </row>
    <row r="906" spans="1:4" ht="16">
      <c r="A906" s="1632">
        <f t="shared" ca="1" si="26"/>
        <v>0.47126973059563126</v>
      </c>
      <c r="B906" s="1632">
        <f t="shared" ca="1" si="27"/>
        <v>1.2073654073517073</v>
      </c>
      <c r="C906" s="1594">
        <v>894</v>
      </c>
      <c r="D906" s="1665">
        <v>2719365.4824631587</v>
      </c>
    </row>
    <row r="907" spans="1:4" ht="16">
      <c r="A907" s="1632">
        <f t="shared" ca="1" si="26"/>
        <v>0.58222189107138744</v>
      </c>
      <c r="B907" s="1632">
        <f t="shared" ca="1" si="27"/>
        <v>1.3065319098064379</v>
      </c>
      <c r="C907" s="1594">
        <v>895</v>
      </c>
      <c r="D907" s="1665">
        <v>2719365.4824631587</v>
      </c>
    </row>
    <row r="908" spans="1:4" ht="16">
      <c r="A908" s="1632">
        <f t="shared" ca="1" si="26"/>
        <v>0.55438792153485483</v>
      </c>
      <c r="B908" s="1632">
        <f t="shared" ca="1" si="27"/>
        <v>1.2805261430362931</v>
      </c>
      <c r="C908" s="1594">
        <v>896</v>
      </c>
      <c r="D908" s="1665">
        <v>2719365.4824631587</v>
      </c>
    </row>
    <row r="909" spans="1:4" ht="16">
      <c r="A909" s="1632">
        <f t="shared" ref="A909:A972" ca="1" si="28">RAND()</f>
        <v>0.88445355501427769</v>
      </c>
      <c r="B909" s="1632">
        <f t="shared" ref="B909:B972" ca="1" si="29">IF(A909&lt;=(B$5-B$4)/(B$6-B$4),$B$4+SQRT(A909*(B$6-B$4)*(B$5-B$4)),B$6-SQRT((1-A909)*(B$6-B$4)*(-B$5+B$6)))</f>
        <v>1.6827129374237879</v>
      </c>
      <c r="C909" s="1594">
        <v>897</v>
      </c>
      <c r="D909" s="1665">
        <v>2719365.4824631587</v>
      </c>
    </row>
    <row r="910" spans="1:4" ht="16">
      <c r="A910" s="1632">
        <f t="shared" ca="1" si="28"/>
        <v>6.1800877392415576E-2</v>
      </c>
      <c r="B910" s="1632">
        <f t="shared" ca="1" si="29"/>
        <v>0.88119571603539071</v>
      </c>
      <c r="C910" s="1594">
        <v>898</v>
      </c>
      <c r="D910" s="1665">
        <v>2719365.4824631587</v>
      </c>
    </row>
    <row r="911" spans="1:4" ht="16">
      <c r="A911" s="1632">
        <f t="shared" ca="1" si="28"/>
        <v>0.64755777507892753</v>
      </c>
      <c r="B911" s="1632">
        <f t="shared" ca="1" si="29"/>
        <v>1.3712130400754579</v>
      </c>
      <c r="C911" s="1594">
        <v>899</v>
      </c>
      <c r="D911" s="1665">
        <v>2719365.4824631587</v>
      </c>
    </row>
    <row r="912" spans="1:4" ht="16">
      <c r="A912" s="1632">
        <f t="shared" ca="1" si="28"/>
        <v>0.15468088912414013</v>
      </c>
      <c r="B912" s="1632">
        <f t="shared" ca="1" si="29"/>
        <v>0.96919962559966399</v>
      </c>
      <c r="C912" s="1594">
        <v>900</v>
      </c>
      <c r="D912" s="1665">
        <v>2719365.4824631587</v>
      </c>
    </row>
    <row r="913" spans="1:4" ht="16">
      <c r="A913" s="1632">
        <f t="shared" ca="1" si="28"/>
        <v>0.26891216489784009</v>
      </c>
      <c r="B913" s="1632">
        <f t="shared" ca="1" si="29"/>
        <v>1.0503575049099074</v>
      </c>
      <c r="C913" s="1594">
        <v>901</v>
      </c>
      <c r="D913" s="1665">
        <v>2719365.4824631587</v>
      </c>
    </row>
    <row r="914" spans="1:4" ht="16">
      <c r="A914" s="1632">
        <f t="shared" ca="1" si="28"/>
        <v>0.27476391800339128</v>
      </c>
      <c r="B914" s="1632">
        <f t="shared" ca="1" si="29"/>
        <v>1.0545667043905242</v>
      </c>
      <c r="C914" s="1594">
        <v>902</v>
      </c>
      <c r="D914" s="1665">
        <v>2719365.4824631587</v>
      </c>
    </row>
    <row r="915" spans="1:4" ht="16">
      <c r="A915" s="1632">
        <f t="shared" ca="1" si="28"/>
        <v>0.21203190674895156</v>
      </c>
      <c r="B915" s="1632">
        <f t="shared" ca="1" si="29"/>
        <v>1.0102899851202018</v>
      </c>
      <c r="C915" s="1594">
        <v>903</v>
      </c>
      <c r="D915" s="1665">
        <v>2719365.4824631587</v>
      </c>
    </row>
    <row r="916" spans="1:4" ht="16">
      <c r="A916" s="1632">
        <f t="shared" ca="1" si="28"/>
        <v>0.30695384996225294</v>
      </c>
      <c r="B916" s="1632">
        <f t="shared" ca="1" si="29"/>
        <v>1.0780310434720217</v>
      </c>
      <c r="C916" s="1594">
        <v>904</v>
      </c>
      <c r="D916" s="1665">
        <v>2719365.4824631587</v>
      </c>
    </row>
    <row r="917" spans="1:4" ht="16">
      <c r="A917" s="1632">
        <f t="shared" ca="1" si="28"/>
        <v>0.97079040483500267</v>
      </c>
      <c r="B917" s="1632">
        <f t="shared" ca="1" si="29"/>
        <v>1.8901932796270555</v>
      </c>
      <c r="C917" s="1594">
        <v>905</v>
      </c>
      <c r="D917" s="1665">
        <v>2719365.4824631587</v>
      </c>
    </row>
    <row r="918" spans="1:4" ht="16">
      <c r="A918" s="1632">
        <f t="shared" ca="1" si="28"/>
        <v>0.10538980361091277</v>
      </c>
      <c r="B918" s="1632">
        <f t="shared" ca="1" si="29"/>
        <v>0.92744287365128331</v>
      </c>
      <c r="C918" s="1594">
        <v>906</v>
      </c>
      <c r="D918" s="1665">
        <v>2719365.4824631587</v>
      </c>
    </row>
    <row r="919" spans="1:4" ht="16">
      <c r="A919" s="1632">
        <f t="shared" ca="1" si="28"/>
        <v>0.37556647070459781</v>
      </c>
      <c r="B919" s="1632">
        <f t="shared" ca="1" si="29"/>
        <v>1.1299374614757196</v>
      </c>
      <c r="C919" s="1594">
        <v>907</v>
      </c>
      <c r="D919" s="1665">
        <v>2719365.4824631587</v>
      </c>
    </row>
    <row r="920" spans="1:4" ht="16">
      <c r="A920" s="1632">
        <f t="shared" ca="1" si="28"/>
        <v>0.21532644900255093</v>
      </c>
      <c r="B920" s="1632">
        <f t="shared" ca="1" si="29"/>
        <v>1.0125704430386511</v>
      </c>
      <c r="C920" s="1594">
        <v>908</v>
      </c>
      <c r="D920" s="1665">
        <v>2719365.4824631587</v>
      </c>
    </row>
    <row r="921" spans="1:4" ht="16">
      <c r="A921" s="1632">
        <f t="shared" ca="1" si="28"/>
        <v>7.4904266221121008E-2</v>
      </c>
      <c r="B921" s="1632">
        <f t="shared" ca="1" si="29"/>
        <v>0.8964544624670443</v>
      </c>
      <c r="C921" s="1594">
        <v>909</v>
      </c>
      <c r="D921" s="1665">
        <v>2719365.4824631587</v>
      </c>
    </row>
    <row r="922" spans="1:4" ht="16">
      <c r="A922" s="1632">
        <f t="shared" ca="1" si="28"/>
        <v>0.53855863442383101</v>
      </c>
      <c r="B922" s="1632">
        <f t="shared" ca="1" si="29"/>
        <v>1.2660982444416571</v>
      </c>
      <c r="C922" s="1594">
        <v>910</v>
      </c>
      <c r="D922" s="1665">
        <v>2719365.4824631587</v>
      </c>
    </row>
    <row r="923" spans="1:4" ht="16">
      <c r="A923" s="1632">
        <f t="shared" ca="1" si="28"/>
        <v>0.10820004174466047</v>
      </c>
      <c r="B923" s="1632">
        <f t="shared" ca="1" si="29"/>
        <v>0.93005798019911601</v>
      </c>
      <c r="C923" s="1594">
        <v>911</v>
      </c>
      <c r="D923" s="1665">
        <v>2719365.4824631587</v>
      </c>
    </row>
    <row r="924" spans="1:4" ht="16">
      <c r="A924" s="1632">
        <f t="shared" ca="1" si="28"/>
        <v>0.31805568752819657</v>
      </c>
      <c r="B924" s="1632">
        <f t="shared" ca="1" si="29"/>
        <v>1.086249498695558</v>
      </c>
      <c r="C924" s="1594">
        <v>912</v>
      </c>
      <c r="D924" s="1665">
        <v>2719365.4824631587</v>
      </c>
    </row>
    <row r="925" spans="1:4" ht="16">
      <c r="A925" s="1632">
        <f t="shared" ca="1" si="28"/>
        <v>0.55619533397441723</v>
      </c>
      <c r="B925" s="1632">
        <f t="shared" ca="1" si="29"/>
        <v>1.2821897336786772</v>
      </c>
      <c r="C925" s="1594">
        <v>913</v>
      </c>
      <c r="D925" s="1665">
        <v>2719365.4824631587</v>
      </c>
    </row>
    <row r="926" spans="1:4" ht="16">
      <c r="A926" s="1632">
        <f t="shared" ca="1" si="28"/>
        <v>2.2698078451933945E-2</v>
      </c>
      <c r="B926" s="1632">
        <f t="shared" ca="1" si="29"/>
        <v>0.82162979438681705</v>
      </c>
      <c r="C926" s="1594">
        <v>914</v>
      </c>
      <c r="D926" s="1665">
        <v>2719365.4824631587</v>
      </c>
    </row>
    <row r="927" spans="1:4" ht="16">
      <c r="A927" s="1632">
        <f t="shared" ca="1" si="28"/>
        <v>0.36279899743214961</v>
      </c>
      <c r="B927" s="1632">
        <f t="shared" ca="1" si="29"/>
        <v>1.1200704561705721</v>
      </c>
      <c r="C927" s="1594">
        <v>915</v>
      </c>
      <c r="D927" s="1665">
        <v>2719365.4824631587</v>
      </c>
    </row>
    <row r="928" spans="1:4" ht="16">
      <c r="A928" s="1632">
        <f t="shared" ca="1" si="28"/>
        <v>9.9717488734229365E-2</v>
      </c>
      <c r="B928" s="1632">
        <f t="shared" ca="1" si="29"/>
        <v>0.92205597903421666</v>
      </c>
      <c r="C928" s="1594">
        <v>916</v>
      </c>
      <c r="D928" s="1665">
        <v>2719365.4824631587</v>
      </c>
    </row>
    <row r="929" spans="1:4" ht="16">
      <c r="A929" s="1632">
        <f t="shared" ca="1" si="28"/>
        <v>0.71603756534801211</v>
      </c>
      <c r="B929" s="1632">
        <f t="shared" ca="1" si="29"/>
        <v>1.4458353502209511</v>
      </c>
      <c r="C929" s="1594">
        <v>917</v>
      </c>
      <c r="D929" s="1665">
        <v>2719365.4824631587</v>
      </c>
    </row>
    <row r="930" spans="1:4" ht="16">
      <c r="A930" s="1632">
        <f t="shared" ca="1" si="28"/>
        <v>0.489180873597716</v>
      </c>
      <c r="B930" s="1632">
        <f t="shared" ca="1" si="29"/>
        <v>1.2226150083981138</v>
      </c>
      <c r="C930" s="1594">
        <v>918</v>
      </c>
      <c r="D930" s="1665">
        <v>2719365.4824631587</v>
      </c>
    </row>
    <row r="931" spans="1:4" ht="16">
      <c r="A931" s="1632">
        <f t="shared" ca="1" si="28"/>
        <v>0.71167496002817376</v>
      </c>
      <c r="B931" s="1632">
        <f t="shared" ca="1" si="29"/>
        <v>1.4408294338810765</v>
      </c>
      <c r="C931" s="1594">
        <v>919</v>
      </c>
      <c r="D931" s="1665">
        <v>2719365.4824631587</v>
      </c>
    </row>
    <row r="932" spans="1:4" ht="16">
      <c r="A932" s="1632">
        <f t="shared" ca="1" si="28"/>
        <v>4.864592581459326E-2</v>
      </c>
      <c r="B932" s="1632">
        <f t="shared" ca="1" si="29"/>
        <v>0.86414219305952189</v>
      </c>
      <c r="C932" s="1594">
        <v>920</v>
      </c>
      <c r="D932" s="1665">
        <v>2719365.4824631587</v>
      </c>
    </row>
    <row r="933" spans="1:4" ht="16">
      <c r="A933" s="1632">
        <f t="shared" ca="1" si="28"/>
        <v>0.66566133767161473</v>
      </c>
      <c r="B933" s="1632">
        <f t="shared" ca="1" si="29"/>
        <v>1.3901772304801172</v>
      </c>
      <c r="C933" s="1594">
        <v>921</v>
      </c>
      <c r="D933" s="1665">
        <v>2719365.4824631587</v>
      </c>
    </row>
    <row r="934" spans="1:4" ht="16">
      <c r="A934" s="1632">
        <f t="shared" ca="1" si="28"/>
        <v>0.22581704621717014</v>
      </c>
      <c r="B934" s="1632">
        <f t="shared" ca="1" si="29"/>
        <v>1.0198640310818621</v>
      </c>
      <c r="C934" s="1594">
        <v>922</v>
      </c>
      <c r="D934" s="1665">
        <v>2719365.4824631587</v>
      </c>
    </row>
    <row r="935" spans="1:4" ht="16">
      <c r="A935" s="1632">
        <f t="shared" ca="1" si="28"/>
        <v>5.5131547309870133E-3</v>
      </c>
      <c r="B935" s="1632">
        <f t="shared" ca="1" si="29"/>
        <v>0.77515878580068442</v>
      </c>
      <c r="C935" s="1594">
        <v>923</v>
      </c>
      <c r="D935" s="1665">
        <v>2719365.4824631587</v>
      </c>
    </row>
    <row r="936" spans="1:4" ht="16">
      <c r="A936" s="1632">
        <f t="shared" ca="1" si="28"/>
        <v>0.3375649059098933</v>
      </c>
      <c r="B936" s="1632">
        <f t="shared" ca="1" si="29"/>
        <v>1.1008555225625321</v>
      </c>
      <c r="C936" s="1594">
        <v>924</v>
      </c>
      <c r="D936" s="1665">
        <v>2719365.4824631587</v>
      </c>
    </row>
    <row r="937" spans="1:4" ht="16">
      <c r="A937" s="1632">
        <f t="shared" ca="1" si="28"/>
        <v>0.68157970821691083</v>
      </c>
      <c r="B937" s="1632">
        <f t="shared" ca="1" si="29"/>
        <v>1.4072811683539164</v>
      </c>
      <c r="C937" s="1594">
        <v>925</v>
      </c>
      <c r="D937" s="1665">
        <v>2719365.4824631587</v>
      </c>
    </row>
    <row r="938" spans="1:4" ht="16">
      <c r="A938" s="1632">
        <f t="shared" ca="1" si="28"/>
        <v>2.6296785813051393E-2</v>
      </c>
      <c r="B938" s="1632">
        <f t="shared" ca="1" si="29"/>
        <v>0.82862647247188614</v>
      </c>
      <c r="C938" s="1594">
        <v>926</v>
      </c>
      <c r="D938" s="1665">
        <v>2719365.4824631587</v>
      </c>
    </row>
    <row r="939" spans="1:4" ht="16">
      <c r="A939" s="1632">
        <f t="shared" ca="1" si="28"/>
        <v>0.71384654668230119</v>
      </c>
      <c r="B939" s="1632">
        <f t="shared" ca="1" si="29"/>
        <v>1.4433164733680521</v>
      </c>
      <c r="C939" s="1594">
        <v>927</v>
      </c>
      <c r="D939" s="1665">
        <v>2719365.4824631587</v>
      </c>
    </row>
    <row r="940" spans="1:4" ht="16">
      <c r="A940" s="1632">
        <f t="shared" ca="1" si="28"/>
        <v>0.49365617041250309</v>
      </c>
      <c r="B940" s="1632">
        <f t="shared" ca="1" si="29"/>
        <v>1.2264668574184734</v>
      </c>
      <c r="C940" s="1594">
        <v>928</v>
      </c>
      <c r="D940" s="1665">
        <v>2719365.4824631587</v>
      </c>
    </row>
    <row r="941" spans="1:4" ht="16">
      <c r="A941" s="1632">
        <f t="shared" ca="1" si="28"/>
        <v>2.6592745266817874E-2</v>
      </c>
      <c r="B941" s="1632">
        <f t="shared" ca="1" si="29"/>
        <v>0.82917991971259064</v>
      </c>
      <c r="C941" s="1594">
        <v>929</v>
      </c>
      <c r="D941" s="1665">
        <v>2719365.4824631587</v>
      </c>
    </row>
    <row r="942" spans="1:4" ht="16">
      <c r="A942" s="1632">
        <f t="shared" ca="1" si="28"/>
        <v>0.19967472851420009</v>
      </c>
      <c r="B942" s="1632">
        <f t="shared" ca="1" si="29"/>
        <v>1.0017786269931275</v>
      </c>
      <c r="C942" s="1594">
        <v>930</v>
      </c>
      <c r="D942" s="1665">
        <v>2719365.4824631587</v>
      </c>
    </row>
    <row r="943" spans="1:4" ht="16">
      <c r="A943" s="1632">
        <f t="shared" ca="1" si="28"/>
        <v>9.6029278129127316E-2</v>
      </c>
      <c r="B943" s="1632">
        <f t="shared" ca="1" si="29"/>
        <v>0.91847076691085061</v>
      </c>
      <c r="C943" s="1594">
        <v>931</v>
      </c>
      <c r="D943" s="1665">
        <v>2719365.4824631587</v>
      </c>
    </row>
    <row r="944" spans="1:4" ht="16">
      <c r="A944" s="1632">
        <f t="shared" ca="1" si="28"/>
        <v>0.67139195796062145</v>
      </c>
      <c r="B944" s="1632">
        <f t="shared" ca="1" si="29"/>
        <v>1.3962867634090266</v>
      </c>
      <c r="C944" s="1594">
        <v>932</v>
      </c>
      <c r="D944" s="1665">
        <v>2719365.4824631587</v>
      </c>
    </row>
    <row r="945" spans="1:4" ht="16">
      <c r="A945" s="1632">
        <f t="shared" ca="1" si="28"/>
        <v>0.53707300659665336</v>
      </c>
      <c r="B945" s="1632">
        <f t="shared" ca="1" si="29"/>
        <v>1.26475693414501</v>
      </c>
      <c r="C945" s="1594">
        <v>933</v>
      </c>
      <c r="D945" s="1665">
        <v>2719365.4824631587</v>
      </c>
    </row>
    <row r="946" spans="1:4" ht="16">
      <c r="A946" s="1632">
        <f t="shared" ca="1" si="28"/>
        <v>0.37924520467121758</v>
      </c>
      <c r="B946" s="1632">
        <f t="shared" ca="1" si="29"/>
        <v>1.1327991539703477</v>
      </c>
      <c r="C946" s="1594">
        <v>934</v>
      </c>
      <c r="D946" s="1665">
        <v>2719365.4824631587</v>
      </c>
    </row>
    <row r="947" spans="1:4" ht="16">
      <c r="A947" s="1632">
        <f t="shared" ca="1" si="28"/>
        <v>0.20063738332305447</v>
      </c>
      <c r="B947" s="1632">
        <f t="shared" ca="1" si="29"/>
        <v>1.0024393122327326</v>
      </c>
      <c r="C947" s="1594">
        <v>935</v>
      </c>
      <c r="D947" s="1665">
        <v>2719365.4824631587</v>
      </c>
    </row>
    <row r="948" spans="1:4" ht="16">
      <c r="A948" s="1632">
        <f t="shared" ca="1" si="28"/>
        <v>0.28432361348637225</v>
      </c>
      <c r="B948" s="1632">
        <f t="shared" ca="1" si="29"/>
        <v>1.0614797476813285</v>
      </c>
      <c r="C948" s="1594">
        <v>936</v>
      </c>
      <c r="D948" s="1665">
        <v>2719365.4824631587</v>
      </c>
    </row>
    <row r="949" spans="1:4" ht="16">
      <c r="A949" s="1632">
        <f t="shared" ca="1" si="28"/>
        <v>0.77804006890171784</v>
      </c>
      <c r="B949" s="1632">
        <f t="shared" ca="1" si="29"/>
        <v>1.5216457693030065</v>
      </c>
      <c r="C949" s="1594">
        <v>937</v>
      </c>
      <c r="D949" s="1665">
        <v>2719365.4824631587</v>
      </c>
    </row>
    <row r="950" spans="1:4" ht="16">
      <c r="A950" s="1632">
        <f t="shared" ca="1" si="28"/>
        <v>0.5803691749127029</v>
      </c>
      <c r="B950" s="1632">
        <f t="shared" ca="1" si="29"/>
        <v>1.3047744638113306</v>
      </c>
      <c r="C950" s="1594">
        <v>938</v>
      </c>
      <c r="D950" s="1665">
        <v>2719365.4824631587</v>
      </c>
    </row>
    <row r="951" spans="1:4" ht="16">
      <c r="A951" s="1632">
        <f t="shared" ca="1" si="28"/>
        <v>0.32270032872617593</v>
      </c>
      <c r="B951" s="1632">
        <f t="shared" ca="1" si="29"/>
        <v>1.0897076637875287</v>
      </c>
      <c r="C951" s="1594">
        <v>939</v>
      </c>
      <c r="D951" s="1665">
        <v>2719365.4824631587</v>
      </c>
    </row>
    <row r="952" spans="1:4" ht="16">
      <c r="A952" s="1632">
        <f t="shared" ca="1" si="28"/>
        <v>0.45684070702481627</v>
      </c>
      <c r="B952" s="1632">
        <f t="shared" ca="1" si="29"/>
        <v>1.1952674127049463</v>
      </c>
      <c r="C952" s="1594">
        <v>940</v>
      </c>
      <c r="D952" s="1665">
        <v>2719365.4824631587</v>
      </c>
    </row>
    <row r="953" spans="1:4" ht="16">
      <c r="A953" s="1632">
        <f t="shared" ca="1" si="28"/>
        <v>0.7279724904949606</v>
      </c>
      <c r="B953" s="1632">
        <f t="shared" ca="1" si="29"/>
        <v>1.4597301687381372</v>
      </c>
      <c r="C953" s="1594">
        <v>941</v>
      </c>
      <c r="D953" s="1665">
        <v>2719365.4824631587</v>
      </c>
    </row>
    <row r="954" spans="1:4" ht="16">
      <c r="A954" s="1632">
        <f t="shared" ca="1" si="28"/>
        <v>0.43129531484310835</v>
      </c>
      <c r="B954" s="1632">
        <f t="shared" ca="1" si="29"/>
        <v>1.1742365526056693</v>
      </c>
      <c r="C954" s="1594">
        <v>942</v>
      </c>
      <c r="D954" s="1665">
        <v>2719365.4824631587</v>
      </c>
    </row>
    <row r="955" spans="1:4" ht="16">
      <c r="A955" s="1632">
        <f t="shared" ca="1" si="28"/>
        <v>0.77921077351274748</v>
      </c>
      <c r="B955" s="1632">
        <f t="shared" ca="1" si="29"/>
        <v>1.523173020467758</v>
      </c>
      <c r="C955" s="1594">
        <v>943</v>
      </c>
      <c r="D955" s="1665">
        <v>2719365.4824631587</v>
      </c>
    </row>
    <row r="956" spans="1:4" ht="16">
      <c r="A956" s="1632">
        <f t="shared" ca="1" si="28"/>
        <v>0.83215983480259181</v>
      </c>
      <c r="B956" s="1632">
        <f t="shared" ca="1" si="29"/>
        <v>1.597073435825374</v>
      </c>
      <c r="C956" s="1594">
        <v>944</v>
      </c>
      <c r="D956" s="1665">
        <v>2719365.4824631587</v>
      </c>
    </row>
    <row r="957" spans="1:4" ht="16">
      <c r="A957" s="1632">
        <f t="shared" ca="1" si="28"/>
        <v>0.16845985504857452</v>
      </c>
      <c r="B957" s="1632">
        <f t="shared" ca="1" si="29"/>
        <v>0.97962632149368323</v>
      </c>
      <c r="C957" s="1594">
        <v>945</v>
      </c>
      <c r="D957" s="1665">
        <v>2719365.4824631587</v>
      </c>
    </row>
    <row r="958" spans="1:4" ht="16">
      <c r="A958" s="1632">
        <f t="shared" ca="1" si="28"/>
        <v>0.20593533212407733</v>
      </c>
      <c r="B958" s="1632">
        <f t="shared" ca="1" si="29"/>
        <v>1.0060825193420595</v>
      </c>
      <c r="C958" s="1594">
        <v>946</v>
      </c>
      <c r="D958" s="1665">
        <v>2719365.4824631587</v>
      </c>
    </row>
    <row r="959" spans="1:4" ht="16">
      <c r="A959" s="1632">
        <f t="shared" ca="1" si="28"/>
        <v>0.75556906733566509</v>
      </c>
      <c r="B959" s="1632">
        <f t="shared" ca="1" si="29"/>
        <v>1.4930754449479304</v>
      </c>
      <c r="C959" s="1594">
        <v>947</v>
      </c>
      <c r="D959" s="1665">
        <v>2719365.4824631587</v>
      </c>
    </row>
    <row r="960" spans="1:4" ht="16">
      <c r="A960" s="1632">
        <f t="shared" ca="1" si="28"/>
        <v>0.81326526442588687</v>
      </c>
      <c r="B960" s="1632">
        <f t="shared" ca="1" si="29"/>
        <v>1.5695197963069796</v>
      </c>
      <c r="C960" s="1594">
        <v>948</v>
      </c>
      <c r="D960" s="1665">
        <v>2719365.4824631587</v>
      </c>
    </row>
    <row r="961" spans="1:4" ht="16">
      <c r="A961" s="1632">
        <f t="shared" ca="1" si="28"/>
        <v>0.77047357598846</v>
      </c>
      <c r="B961" s="1632">
        <f t="shared" ca="1" si="29"/>
        <v>1.5118704896152628</v>
      </c>
      <c r="C961" s="1594">
        <v>949</v>
      </c>
      <c r="D961" s="1665">
        <v>2719365.4824631587</v>
      </c>
    </row>
    <row r="962" spans="1:4" ht="16">
      <c r="A962" s="1632">
        <f t="shared" ca="1" si="28"/>
        <v>0.6351174280323566</v>
      </c>
      <c r="B962" s="1632">
        <f t="shared" ca="1" si="29"/>
        <v>1.3584623839917231</v>
      </c>
      <c r="C962" s="1594">
        <v>950</v>
      </c>
      <c r="D962" s="1665">
        <v>2719365.4824631587</v>
      </c>
    </row>
    <row r="963" spans="1:4" ht="16">
      <c r="A963" s="1632">
        <f t="shared" ca="1" si="28"/>
        <v>0.33998706595284622</v>
      </c>
      <c r="B963" s="1632">
        <f t="shared" ca="1" si="29"/>
        <v>1.1026838557362764</v>
      </c>
      <c r="C963" s="1594">
        <v>951</v>
      </c>
      <c r="D963" s="1665">
        <v>2719365.4824631587</v>
      </c>
    </row>
    <row r="964" spans="1:4" ht="16">
      <c r="A964" s="1632">
        <f t="shared" ca="1" si="28"/>
        <v>0.68060240112194825</v>
      </c>
      <c r="B964" s="1632">
        <f t="shared" ca="1" si="29"/>
        <v>1.4062189239326113</v>
      </c>
      <c r="C964" s="1594">
        <v>952</v>
      </c>
      <c r="D964" s="1665">
        <v>2719365.4824631587</v>
      </c>
    </row>
    <row r="965" spans="1:4" ht="16">
      <c r="A965" s="1632">
        <f t="shared" ca="1" si="28"/>
        <v>0.73792848113980158</v>
      </c>
      <c r="B965" s="1632">
        <f t="shared" ca="1" si="29"/>
        <v>1.4715560654105102</v>
      </c>
      <c r="C965" s="1594">
        <v>953</v>
      </c>
      <c r="D965" s="1665">
        <v>2719365.4824631587</v>
      </c>
    </row>
    <row r="966" spans="1:4" ht="16">
      <c r="A966" s="1632">
        <f t="shared" ca="1" si="28"/>
        <v>0.14578270164511409</v>
      </c>
      <c r="B966" s="1632">
        <f t="shared" ca="1" si="29"/>
        <v>0.96221761633977665</v>
      </c>
      <c r="C966" s="1594">
        <v>954</v>
      </c>
      <c r="D966" s="1665">
        <v>2719365.4824631587</v>
      </c>
    </row>
    <row r="967" spans="1:4" ht="16">
      <c r="A967" s="1632">
        <f t="shared" ca="1" si="28"/>
        <v>2.2956872432611686E-2</v>
      </c>
      <c r="B967" s="1632">
        <f t="shared" ca="1" si="29"/>
        <v>0.82215067613871895</v>
      </c>
      <c r="C967" s="1594">
        <v>955</v>
      </c>
      <c r="D967" s="1665">
        <v>2719365.4824631587</v>
      </c>
    </row>
    <row r="968" spans="1:4" ht="16">
      <c r="A968" s="1632">
        <f t="shared" ca="1" si="28"/>
        <v>0.73319691193749659</v>
      </c>
      <c r="B968" s="1632">
        <f t="shared" ca="1" si="29"/>
        <v>1.4659083238914166</v>
      </c>
      <c r="C968" s="1594">
        <v>956</v>
      </c>
      <c r="D968" s="1665">
        <v>2719365.4824631587</v>
      </c>
    </row>
    <row r="969" spans="1:4" ht="16">
      <c r="A969" s="1632">
        <f t="shared" ca="1" si="28"/>
        <v>2.7982728431501513E-2</v>
      </c>
      <c r="B969" s="1632">
        <f t="shared" ca="1" si="29"/>
        <v>0.8317389367293192</v>
      </c>
      <c r="C969" s="1594">
        <v>957</v>
      </c>
      <c r="D969" s="1665">
        <v>2719365.4824631587</v>
      </c>
    </row>
    <row r="970" spans="1:4" ht="16">
      <c r="A970" s="1632">
        <f t="shared" ca="1" si="28"/>
        <v>9.1014917293123054E-2</v>
      </c>
      <c r="B970" s="1632">
        <f t="shared" ca="1" si="29"/>
        <v>0.9134841080495153</v>
      </c>
      <c r="C970" s="1594">
        <v>958</v>
      </c>
      <c r="D970" s="1665">
        <v>2719365.4824631587</v>
      </c>
    </row>
    <row r="971" spans="1:4" ht="16">
      <c r="A971" s="1632">
        <f t="shared" ca="1" si="28"/>
        <v>6.1163392047046017E-2</v>
      </c>
      <c r="B971" s="1632">
        <f t="shared" ca="1" si="29"/>
        <v>0.88041389137377679</v>
      </c>
      <c r="C971" s="1594">
        <v>959</v>
      </c>
      <c r="D971" s="1665">
        <v>2719365.4824631587</v>
      </c>
    </row>
    <row r="972" spans="1:4" ht="16">
      <c r="A972" s="1632">
        <f t="shared" ca="1" si="28"/>
        <v>0.53531606254264197</v>
      </c>
      <c r="B972" s="1632">
        <f t="shared" ca="1" si="29"/>
        <v>1.2631734386694944</v>
      </c>
      <c r="C972" s="1594">
        <v>960</v>
      </c>
      <c r="D972" s="1665">
        <v>2719365.4824631587</v>
      </c>
    </row>
    <row r="973" spans="1:4" ht="16">
      <c r="A973" s="1632">
        <f t="shared" ref="A973:A1012" ca="1" si="30">RAND()</f>
        <v>0.89991372792375413</v>
      </c>
      <c r="B973" s="1632">
        <f t="shared" ref="B973:B1012" ca="1" si="31">IF(A973&lt;=(B$5-B$4)/(B$6-B$4),$B$4+SQRT(A973*(B$6-B$4)*(B$5-B$4)),B$6-SQRT((1-A973)*(B$6-B$4)*(-B$5+B$6)))</f>
        <v>1.7116316027031777</v>
      </c>
      <c r="C973" s="1594">
        <v>961</v>
      </c>
      <c r="D973" s="1665">
        <v>2719365.4824631587</v>
      </c>
    </row>
    <row r="974" spans="1:4" ht="16">
      <c r="A974" s="1632">
        <f t="shared" ca="1" si="30"/>
        <v>0.77930925306326715</v>
      </c>
      <c r="B974" s="1632">
        <f t="shared" ca="1" si="31"/>
        <v>1.523301677101748</v>
      </c>
      <c r="C974" s="1594">
        <v>962</v>
      </c>
      <c r="D974" s="1665">
        <v>2719365.4824631587</v>
      </c>
    </row>
    <row r="975" spans="1:4" ht="16">
      <c r="A975" s="1632">
        <f t="shared" ca="1" si="30"/>
        <v>0.72415872650940383</v>
      </c>
      <c r="B975" s="1632">
        <f t="shared" ca="1" si="31"/>
        <v>1.4552575714672344</v>
      </c>
      <c r="C975" s="1594">
        <v>963</v>
      </c>
      <c r="D975" s="1665">
        <v>2719365.4824631587</v>
      </c>
    </row>
    <row r="976" spans="1:4" ht="16">
      <c r="A976" s="1632">
        <f t="shared" ca="1" si="30"/>
        <v>0.26092447060123125</v>
      </c>
      <c r="B976" s="1632">
        <f t="shared" ca="1" si="31"/>
        <v>1.0446390082990822</v>
      </c>
      <c r="C976" s="1594">
        <v>964</v>
      </c>
      <c r="D976" s="1665">
        <v>2719365.4824631587</v>
      </c>
    </row>
    <row r="977" spans="1:4" ht="16">
      <c r="A977" s="1632">
        <f t="shared" ca="1" si="30"/>
        <v>0.77472946029031331</v>
      </c>
      <c r="B977" s="1632">
        <f t="shared" ca="1" si="31"/>
        <v>1.5173485575899619</v>
      </c>
      <c r="C977" s="1594">
        <v>965</v>
      </c>
      <c r="D977" s="1665">
        <v>2719365.4824631587</v>
      </c>
    </row>
    <row r="978" spans="1:4" ht="16">
      <c r="A978" s="1632">
        <f t="shared" ca="1" si="30"/>
        <v>0.68260307295990708</v>
      </c>
      <c r="B978" s="1632">
        <f t="shared" ca="1" si="31"/>
        <v>1.4083952219298799</v>
      </c>
      <c r="C978" s="1594">
        <v>966</v>
      </c>
      <c r="D978" s="1665">
        <v>2719365.4824631587</v>
      </c>
    </row>
    <row r="979" spans="1:4" ht="16">
      <c r="A979" s="1632">
        <f t="shared" ca="1" si="30"/>
        <v>0.4732707460634763</v>
      </c>
      <c r="B979" s="1632">
        <f t="shared" ca="1" si="31"/>
        <v>1.2090561265251658</v>
      </c>
      <c r="C979" s="1594">
        <v>967</v>
      </c>
      <c r="D979" s="1665">
        <v>2719365.4824631587</v>
      </c>
    </row>
    <row r="980" spans="1:4" ht="16">
      <c r="A980" s="1632">
        <f t="shared" ca="1" si="30"/>
        <v>0.91353462289249465</v>
      </c>
      <c r="B980" s="1632">
        <f t="shared" ca="1" si="31"/>
        <v>1.739024483792861</v>
      </c>
      <c r="C980" s="1594">
        <v>968</v>
      </c>
      <c r="D980" s="1665">
        <v>2719365.4824631587</v>
      </c>
    </row>
    <row r="981" spans="1:4" ht="16">
      <c r="A981" s="1632">
        <f t="shared" ca="1" si="30"/>
        <v>8.4913324008440316E-2</v>
      </c>
      <c r="B981" s="1632">
        <f t="shared" ca="1" si="31"/>
        <v>0.90722708187724033</v>
      </c>
      <c r="C981" s="1594">
        <v>969</v>
      </c>
      <c r="D981" s="1665">
        <v>2719365.4824631587</v>
      </c>
    </row>
    <row r="982" spans="1:4" ht="16">
      <c r="A982" s="1632">
        <f t="shared" ca="1" si="30"/>
        <v>0.34148228598264119</v>
      </c>
      <c r="B982" s="1632">
        <f t="shared" ca="1" si="31"/>
        <v>1.10381417645895</v>
      </c>
      <c r="C982" s="1594">
        <v>970</v>
      </c>
      <c r="D982" s="1665">
        <v>2719365.4824631587</v>
      </c>
    </row>
    <row r="983" spans="1:4" ht="16">
      <c r="A983" s="1632">
        <f t="shared" ca="1" si="30"/>
        <v>0.91754242022556398</v>
      </c>
      <c r="B983" s="1632">
        <f t="shared" ca="1" si="31"/>
        <v>1.74748961331604</v>
      </c>
      <c r="C983" s="1594">
        <v>971</v>
      </c>
      <c r="D983" s="1665">
        <v>2719365.4824631587</v>
      </c>
    </row>
    <row r="984" spans="1:4" ht="16">
      <c r="A984" s="1632">
        <f t="shared" ca="1" si="30"/>
        <v>0.63265085294642309</v>
      </c>
      <c r="B984" s="1632">
        <f t="shared" ca="1" si="31"/>
        <v>1.3559602398999497</v>
      </c>
      <c r="C984" s="1594">
        <v>972</v>
      </c>
      <c r="D984" s="1665">
        <v>2719365.4824631587</v>
      </c>
    </row>
    <row r="985" spans="1:4" ht="16">
      <c r="A985" s="1632">
        <f t="shared" ca="1" si="30"/>
        <v>0.2205606611627674</v>
      </c>
      <c r="B985" s="1632">
        <f t="shared" ca="1" si="31"/>
        <v>1.0162033937921242</v>
      </c>
      <c r="C985" s="1594">
        <v>973</v>
      </c>
      <c r="D985" s="1665">
        <v>2719365.4824631587</v>
      </c>
    </row>
    <row r="986" spans="1:4" ht="16">
      <c r="A986" s="1632">
        <f t="shared" ca="1" si="30"/>
        <v>0.76935544809000678</v>
      </c>
      <c r="B986" s="1632">
        <f t="shared" ca="1" si="31"/>
        <v>1.5104397064520376</v>
      </c>
      <c r="C986" s="1594">
        <v>974</v>
      </c>
      <c r="D986" s="1665">
        <v>2719365.4824631587</v>
      </c>
    </row>
    <row r="987" spans="1:4" ht="16">
      <c r="A987" s="1632">
        <f t="shared" ca="1" si="30"/>
        <v>0.75489951139613698</v>
      </c>
      <c r="B987" s="1632">
        <f t="shared" ca="1" si="31"/>
        <v>1.4922447562332173</v>
      </c>
      <c r="C987" s="1594">
        <v>975</v>
      </c>
      <c r="D987" s="1665">
        <v>2719365.4824631587</v>
      </c>
    </row>
    <row r="988" spans="1:4" ht="16">
      <c r="A988" s="1632">
        <f t="shared" ca="1" si="30"/>
        <v>0.83645902434055519</v>
      </c>
      <c r="B988" s="1632">
        <f t="shared" ca="1" si="31"/>
        <v>1.6035563976454292</v>
      </c>
      <c r="C988" s="1594">
        <v>976</v>
      </c>
      <c r="D988" s="1665">
        <v>2719365.4824631587</v>
      </c>
    </row>
    <row r="989" spans="1:4" ht="16">
      <c r="A989" s="1632">
        <f t="shared" ca="1" si="30"/>
        <v>0.52785060662924443</v>
      </c>
      <c r="B989" s="1632">
        <f t="shared" ca="1" si="31"/>
        <v>1.2564781355473182</v>
      </c>
      <c r="C989" s="1594">
        <v>977</v>
      </c>
      <c r="D989" s="1665">
        <v>2719365.4824631587</v>
      </c>
    </row>
    <row r="990" spans="1:4" ht="16">
      <c r="A990" s="1632">
        <f t="shared" ca="1" si="30"/>
        <v>0.83615118987435266</v>
      </c>
      <c r="B990" s="1632">
        <f t="shared" ca="1" si="31"/>
        <v>1.6030893874554997</v>
      </c>
      <c r="C990" s="1594">
        <v>978</v>
      </c>
      <c r="D990" s="1665">
        <v>2719365.4824631587</v>
      </c>
    </row>
    <row r="991" spans="1:4" ht="16">
      <c r="A991" s="1632">
        <f t="shared" ca="1" si="30"/>
        <v>0.59192633167163744</v>
      </c>
      <c r="B991" s="1632">
        <f t="shared" ca="1" si="31"/>
        <v>1.3158016716602603</v>
      </c>
      <c r="C991" s="1594">
        <v>979</v>
      </c>
      <c r="D991" s="1665">
        <v>2719365.4824631587</v>
      </c>
    </row>
    <row r="992" spans="1:4" ht="16">
      <c r="A992" s="1632">
        <f t="shared" ca="1" si="30"/>
        <v>0.19808997526102678</v>
      </c>
      <c r="B992" s="1632">
        <f t="shared" ca="1" si="31"/>
        <v>1.0006918506252978</v>
      </c>
      <c r="C992" s="1594">
        <v>980</v>
      </c>
      <c r="D992" s="1665">
        <v>2719365.4824631587</v>
      </c>
    </row>
    <row r="993" spans="1:4" ht="16">
      <c r="A993" s="1632">
        <f t="shared" ca="1" si="30"/>
        <v>0.70783945103550028</v>
      </c>
      <c r="B993" s="1632">
        <f t="shared" ca="1" si="31"/>
        <v>1.4364595360571437</v>
      </c>
      <c r="C993" s="1594">
        <v>981</v>
      </c>
      <c r="D993" s="1665">
        <v>2719365.4824631587</v>
      </c>
    </row>
    <row r="994" spans="1:4" ht="16">
      <c r="A994" s="1632">
        <f t="shared" ca="1" si="30"/>
        <v>0.83920421711970472</v>
      </c>
      <c r="B994" s="1632">
        <f t="shared" ca="1" si="31"/>
        <v>1.6077406732213142</v>
      </c>
      <c r="C994" s="1594">
        <v>982</v>
      </c>
      <c r="D994" s="1665">
        <v>2719365.4824631587</v>
      </c>
    </row>
    <row r="995" spans="1:4" ht="16">
      <c r="A995" s="1632">
        <f t="shared" ca="1" si="30"/>
        <v>0.61974787249470975</v>
      </c>
      <c r="B995" s="1632">
        <f t="shared" ca="1" si="31"/>
        <v>1.343005973504102</v>
      </c>
      <c r="C995" s="1594">
        <v>983</v>
      </c>
      <c r="D995" s="1665">
        <v>2719365.4824631587</v>
      </c>
    </row>
    <row r="996" spans="1:4" ht="16">
      <c r="A996" s="1632">
        <f t="shared" ca="1" si="30"/>
        <v>0.93080250511871909</v>
      </c>
      <c r="B996" s="1632">
        <f t="shared" ca="1" si="31"/>
        <v>1.7770748929146414</v>
      </c>
      <c r="C996" s="1594">
        <v>984</v>
      </c>
      <c r="D996" s="1665">
        <v>2719365.4824631587</v>
      </c>
    </row>
    <row r="997" spans="1:4" ht="16">
      <c r="A997" s="1632">
        <f t="shared" ca="1" si="30"/>
        <v>0.63732324611062885</v>
      </c>
      <c r="B997" s="1632">
        <f t="shared" ca="1" si="31"/>
        <v>1.3607071837821754</v>
      </c>
      <c r="C997" s="1594">
        <v>985</v>
      </c>
      <c r="D997" s="1665">
        <v>2719365.4824631587</v>
      </c>
    </row>
    <row r="998" spans="1:4" ht="16">
      <c r="A998" s="1632">
        <f t="shared" ca="1" si="30"/>
        <v>0.64850243190307355</v>
      </c>
      <c r="B998" s="1632">
        <f t="shared" ca="1" si="31"/>
        <v>1.3721903853877251</v>
      </c>
      <c r="C998" s="1594">
        <v>986</v>
      </c>
      <c r="D998" s="1665">
        <v>2719365.4824631587</v>
      </c>
    </row>
    <row r="999" spans="1:4" ht="16">
      <c r="A999" s="1632">
        <f t="shared" ca="1" si="30"/>
        <v>0.13312432735856927</v>
      </c>
      <c r="B999" s="1632">
        <f t="shared" ca="1" si="31"/>
        <v>0.95190693700273266</v>
      </c>
      <c r="C999" s="1594">
        <v>987</v>
      </c>
      <c r="D999" s="1665">
        <v>2719365.4824631587</v>
      </c>
    </row>
    <row r="1000" spans="1:4" ht="16">
      <c r="A1000" s="1632">
        <f t="shared" ca="1" si="30"/>
        <v>0.71607339161033368</v>
      </c>
      <c r="B1000" s="1632">
        <f t="shared" ca="1" si="31"/>
        <v>1.4458766180274343</v>
      </c>
      <c r="C1000" s="1594">
        <v>988</v>
      </c>
      <c r="D1000" s="1665">
        <v>2719365.4824631587</v>
      </c>
    </row>
    <row r="1001" spans="1:4" ht="16">
      <c r="A1001" s="1632">
        <f t="shared" ca="1" si="30"/>
        <v>0.50431499965769311</v>
      </c>
      <c r="B1001" s="1632">
        <f t="shared" ca="1" si="31"/>
        <v>1.2357099471150577</v>
      </c>
      <c r="C1001" s="1594">
        <v>989</v>
      </c>
      <c r="D1001" s="1665">
        <v>2719365.4824631587</v>
      </c>
    </row>
    <row r="1002" spans="1:4" ht="16">
      <c r="A1002" s="1632">
        <f t="shared" ca="1" si="30"/>
        <v>0.28191382539675469</v>
      </c>
      <c r="B1002" s="1632">
        <f t="shared" ca="1" si="31"/>
        <v>1.0597327914775498</v>
      </c>
      <c r="C1002" s="1594">
        <v>990</v>
      </c>
      <c r="D1002" s="1665">
        <v>2719365.4824631587</v>
      </c>
    </row>
    <row r="1003" spans="1:4" ht="16">
      <c r="A1003" s="1632">
        <f t="shared" ca="1" si="30"/>
        <v>0.47961037027561826</v>
      </c>
      <c r="B1003" s="1632">
        <f t="shared" ca="1" si="31"/>
        <v>1.2144339821364851</v>
      </c>
      <c r="C1003" s="1594">
        <v>991</v>
      </c>
      <c r="D1003" s="1665">
        <v>2719365.4824631587</v>
      </c>
    </row>
    <row r="1004" spans="1:4" ht="16">
      <c r="A1004" s="1632">
        <f t="shared" ca="1" si="30"/>
        <v>0.13906561970124365</v>
      </c>
      <c r="B1004" s="1632">
        <f t="shared" ca="1" si="31"/>
        <v>0.95680470173144561</v>
      </c>
      <c r="C1004" s="1594">
        <v>992</v>
      </c>
      <c r="D1004" s="1665">
        <v>2719365.4824631587</v>
      </c>
    </row>
    <row r="1005" spans="1:4" ht="16">
      <c r="A1005" s="1632">
        <f t="shared" ca="1" si="30"/>
        <v>0.7383569391507645</v>
      </c>
      <c r="B1005" s="1632">
        <f t="shared" ca="1" si="31"/>
        <v>1.4720699937892776</v>
      </c>
      <c r="C1005" s="1594">
        <v>993</v>
      </c>
      <c r="D1005" s="1665">
        <v>2719365.4824631587</v>
      </c>
    </row>
    <row r="1006" spans="1:4" ht="16">
      <c r="A1006" s="1632">
        <f t="shared" ca="1" si="30"/>
        <v>0.42634391211572464</v>
      </c>
      <c r="B1006" s="1632">
        <f t="shared" ca="1" si="31"/>
        <v>1.1702152268177313</v>
      </c>
      <c r="C1006" s="1594">
        <v>994</v>
      </c>
      <c r="D1006" s="1665">
        <v>2719365.4824631587</v>
      </c>
    </row>
    <row r="1007" spans="1:4" ht="16">
      <c r="A1007" s="1632">
        <f t="shared" ca="1" si="30"/>
        <v>0.38664182360561561</v>
      </c>
      <c r="B1007" s="1632">
        <f t="shared" ca="1" si="31"/>
        <v>1.1385787750281684</v>
      </c>
      <c r="C1007" s="1594">
        <v>995</v>
      </c>
      <c r="D1007" s="1665">
        <v>2719365.4824631587</v>
      </c>
    </row>
    <row r="1008" spans="1:4" ht="16">
      <c r="A1008" s="1632">
        <f t="shared" ca="1" si="30"/>
        <v>0.235377890390712</v>
      </c>
      <c r="B1008" s="1632">
        <f t="shared" ca="1" si="31"/>
        <v>1.0265543706450722</v>
      </c>
      <c r="C1008" s="1594">
        <v>996</v>
      </c>
      <c r="D1008" s="1665">
        <v>2719365.4824631587</v>
      </c>
    </row>
    <row r="1009" spans="1:4" ht="16">
      <c r="A1009" s="1632">
        <f t="shared" ca="1" si="30"/>
        <v>0.2502536911930836</v>
      </c>
      <c r="B1009" s="1632">
        <f t="shared" ca="1" si="31"/>
        <v>1.0370476551735619</v>
      </c>
      <c r="C1009" s="1594">
        <v>997</v>
      </c>
      <c r="D1009" s="1665">
        <v>2719365.4824631587</v>
      </c>
    </row>
    <row r="1010" spans="1:4" ht="16">
      <c r="A1010" s="1632">
        <f t="shared" ca="1" si="30"/>
        <v>0.85835327320141142</v>
      </c>
      <c r="B1010" s="1632">
        <f t="shared" ca="1" si="31"/>
        <v>1.6379809340671394</v>
      </c>
      <c r="C1010" s="1594">
        <v>998</v>
      </c>
      <c r="D1010" s="1665">
        <v>2719365.4824631587</v>
      </c>
    </row>
    <row r="1011" spans="1:4" ht="16">
      <c r="A1011" s="1632">
        <f t="shared" ca="1" si="30"/>
        <v>0.81150040782527944</v>
      </c>
      <c r="B1011" s="1632">
        <f t="shared" ca="1" si="31"/>
        <v>1.5670188695579328</v>
      </c>
      <c r="C1011" s="1594">
        <v>999</v>
      </c>
      <c r="D1011" s="1665">
        <v>2719365.4824631587</v>
      </c>
    </row>
    <row r="1012" spans="1:4" ht="16">
      <c r="A1012" s="1632">
        <f t="shared" ca="1" si="30"/>
        <v>0.32259452604380678</v>
      </c>
      <c r="B1012" s="1632">
        <f t="shared" ca="1" si="31"/>
        <v>1.0896287567176195</v>
      </c>
      <c r="C1012" s="1594">
        <v>1000</v>
      </c>
      <c r="D1012" s="1665">
        <v>2719365.4824631587</v>
      </c>
    </row>
  </sheetData>
  <mergeCells count="3">
    <mergeCell ref="F1:G1"/>
    <mergeCell ref="C8:D8"/>
    <mergeCell ref="C9:D9"/>
  </mergeCells>
  <hyperlinks>
    <hyperlink ref="D1" location="Index!A1" display="Index" xr:uid="{4D920140-E477-437F-8FF1-35D86F4F3B57}"/>
    <hyperlink ref="P4" r:id="rId1" display="https://www.amazon.com/Anker-Charging-MacBook-Galaxy-Charger/dp/B088NRLMPV/ref=sr_1_2_sspa?dchild=1&amp;keywords=usb+c+cable&amp;qid=1619132079&amp;sr=8-2-spons&amp;psc=1&amp;spLa=ZW5jcnlwdGVkUXVhbGlmaWVyPUFaWUw4Qk1HREExME4mZW5jcnlwdGVkSWQ9QTA0MDcxMjgzSldVRjFPMUMzQlJHJmVuY3J5cHRlZEFkSWQ9QTAwMzQxNjVaNkRXTURSTVVNVEImd2lkZ2V0TmFtZT1zcF9hdGYmYWN0aW9uPWNsaWNrUmVkaXJlY3QmZG9Ob3RMb2dDbGljaz10cnVl" xr:uid="{8A113CA4-1C4F-45C4-AD9D-4F30DC811AA3}"/>
    <hyperlink ref="P3" r:id="rId2" xr:uid="{FF9F26D8-8C87-48B5-9EE5-0F4714316301}"/>
    <hyperlink ref="P2" r:id="rId3" display="https://www.amazon.com/SKTE-Function-Monitoring-Real-time-Streaming/dp/B08Y24XKPW/ref=sr_1_2_sspa?dchild=1&amp;keywords=pet+surveillance+camera&amp;qid=1619131733&amp;refinements=p_36%3A1253503011&amp;rnid=386442011&amp;s=electronics&amp;sr=1-2-spons&amp;psc=1&amp;spLa=ZW5jcnlwdGVkUXVhbGlmaWVyPUEyQVJTNEFNUlNSUDAxJmVuY3J5cHRlZElkPUEwMDY0NDg4M0JPNTdMWTFVT0dBWiZlbmNyeXB0ZWRBZElkPUEwMjUwODk4M1FESjkwVlAxSFpHUyZ3aWRnZXROYW1lPXNwX2F0ZiZhY3Rpb249Y2xpY2tSZWRpcmVjdCZkb05vdExvZ0NsaWNrPXRydWU=" xr:uid="{7459113D-230C-4C9E-8461-A87E1910A8EC}"/>
    <hyperlink ref="Q4" r:id="rId4" xr:uid="{8B2CC754-77C3-426B-AD97-C16F1AE86774}"/>
    <hyperlink ref="P5" r:id="rId5" xr:uid="{ED158CD8-B661-48B4-B89B-F66284D68209}"/>
    <hyperlink ref="P6" r:id="rId6" xr:uid="{D5565EAC-9786-4982-9103-8B608FD5D03D}"/>
    <hyperlink ref="Q6" r:id="rId7" xr:uid="{6C3D62BD-CCD9-4700-B563-74D3D840943D}"/>
    <hyperlink ref="Q7" r:id="rId8" xr:uid="{518A078D-9F6F-4025-A6E8-74E8ED39DFAF}"/>
    <hyperlink ref="P7" r:id="rId9" xr:uid="{288C619A-CBE4-4973-B86F-98571DC22B66}"/>
    <hyperlink ref="P14" r:id="rId10" xr:uid="{51ACD822-8DFF-4BCB-A999-320F412FB5E7}"/>
    <hyperlink ref="P8" r:id="rId11" display="https://www.newark.com/stmicroelectronics/stm32l053r8t6/product-range-stm32-family-stm32l0/dp/28AC3380?gclid=Cj0KCQjwvYSEBhDjARIsAJMn0lhr4FfZiX7QWuVtE48Ks_Pmgveo_YBIXHao_a0YDzEEpIDiTlp1AmQaAk9JEALw_wcB&amp;mckv=sQC90ZXjs_dc|pcrid|492622077332|plid||kword||match||slid||product|28AC3380|pgrid|108905520410|ptaid|pla-902764019999|&amp;CMP=KNC-GUSA-GEN-Shopping-NewStructure-Gen-Semiconductors-ICs" xr:uid="{2A0284D7-5AB3-4031-BA43-8AAEA5E46B94}"/>
    <hyperlink ref="Q8" r:id="rId12" xr:uid="{4E66DB02-D153-43BA-AC60-961081AAE4E0}"/>
    <hyperlink ref="P9" r:id="rId13" display="https://www.elecbee.com/en/4ghz58ghz-wifi-antenna/2087-external-wifi-antenna-3dbi-rubber-duck-wireless-antenna.html?mark=google_shopping&amp;seo=1&amp;utm_term=&amp;utm_campaign=shopping_%E5%B1%95%E7%A4%BA%E7%BE%8E%E5%9B%BD2021/03/05&amp;utm_source=adwords&amp;utm_medium=ppc&amp;hsa_acc=9958698819&amp;hsa_cam=12474875514&amp;hsa_grp=119136185512&amp;hsa_ad=502712486143&amp;hsa_src=g&amp;hsa_tgt=pla-296128378483&amp;hsa_kw=&amp;hsa_mt=&amp;hsa_net=adwords&amp;hsa_ver=3&amp;gclid=Cj0KCQjwvYSEBhDjARIsAJMn0ljaxUZHHeogT2mEv7uD2hRiq1TduEbeX5YS7ovufXOazkvKaJ7DCyoaAvSnEALw_wcB" xr:uid="{BDDBB611-FF30-4247-A07D-F3230381EBA0}"/>
    <hyperlink ref="P10" r:id="rId14" xr:uid="{17E39872-0B0F-4FE6-9298-6C1469386E82}"/>
    <hyperlink ref="Q10" r:id="rId15" display="https://www.digikey.com/en/products/detail/stmicro/M24SR02-YMN6T%2F2/4693616?utm_adgroup=RF%2FIF%20and%20RFID&amp;utm_source=google&amp;utm_medium=cpc&amp;utm_campaign=Shopping_Supplier_STMicroelectronics_0497_Co-op&amp;utm_term=&amp;utm_content=RF%2FIF%20and%20RFID&amp;gclid=Cj0KCQjwvYSEBhDjARIsAJMn0lhm9sw3cFELK0JPQhjabwZ9XqRyn6XEd_EThHstyLUGZMOWBpAdomgaAqVqEALw_wcB" xr:uid="{D6ADD971-6143-4607-B722-4EDA0E182249}"/>
    <hyperlink ref="P11" r:id="rId16" location="spd=3196120597471704260" display="https://www.google.com/search?q=copper+heat+sink&amp;rlz=1C1CHBF_enUS862US863&amp;biw=1536&amp;bih=722&amp;tbm=shop&amp;sxsrf=ALeKk03hNIh0K6hBX6GgVq052wz3WNwj-w%3A1619132585463&amp;ei=qQCCYPneG9SB9u8P38WI6Ao&amp;oq=Copper+Heat+Sink&amp;gs_lcp=Cgtwcm9kdWN0cy1jYxABGAAyAggAMgIIADIGCAAQChAYMgQIABAYMgQIABAYMgQIABAYMgQIABAYMgQIABAYMgQIABAYMgQIABAYULXwCVi18Alg1_gJaABwAHgAgAGHAYgBhwGSAQMwLjGYAQCgAQKgAQHAAQE&amp;sclient=products-cc - spd=3196120597471704260" xr:uid="{25896196-0EB2-4004-A652-247B3C27778B}"/>
    <hyperlink ref="Q11" r:id="rId17" location="spd=7296609860370013658" display="https://www.google.com/search?q=copper+heat+sink&amp;rlz=1C1CHBF_enUS862US863&amp;biw=1536&amp;bih=722&amp;tbm=shop&amp;sxsrf=ALeKk03hNIh0K6hBX6GgVq052wz3WNwj-w%3A1619132585463&amp;ei=qQCCYPneG9SB9u8P38WI6Ao&amp;oq=Copper+Heat+Sink&amp;gs_lcp=Cgtwcm9kdWN0cy1jYxABGAAyAggAMgIIADIGCAAQChAYMgQIABAYMgQIABAYMgQIABAYMgQIABAYMgQIABAYMgQIABAYMgQIABAYULXwCVi18Alg1_gJaABwAHgAgAGHAYgBhwGSAQMwLjGYAQCgAQKgAQHAAQE&amp;sclient=products-cc - spd=7296609860370013658" xr:uid="{ADF6DB7A-F34C-45AA-8544-22A0EA688C7F}"/>
    <hyperlink ref="P12" r:id="rId18" xr:uid="{3D0A71E2-FCA2-4FD4-8CE5-DEA7AA1A885E}"/>
    <hyperlink ref="Q12" r:id="rId19" xr:uid="{7E75C3D3-A412-47EA-8587-9BB5B2893A03}"/>
    <hyperlink ref="P13" r:id="rId20" xr:uid="{CB6E860A-2FC9-4477-BF2B-28B9A44A580C}"/>
    <hyperlink ref="Q13" r:id="rId21" xr:uid="{A3DE1FCE-4488-410C-B9C0-9B1C6CCCD68A}"/>
    <hyperlink ref="P15" r:id="rId22" location="/" display="https://www.coilcraft.com/en-us/products/power/shielded-inductors/molded-inductor/ - /" xr:uid="{A155039D-B1EC-4761-8094-887BB171DC99}"/>
    <hyperlink ref="P16" r:id="rId23" xr:uid="{62276BE8-B2F9-4A59-B0B8-E7A1ADC47E8A}"/>
    <hyperlink ref="P17" r:id="rId24" xr:uid="{EC92EEF5-B65F-46FD-AE1C-1547A47A0418}"/>
    <hyperlink ref="P18" r:id="rId25" xr:uid="{F30BEF3C-EEBB-45A4-A7FA-3594723E13FE}"/>
    <hyperlink ref="P19" r:id="rId26" xr:uid="{6174F31E-6382-40F6-B423-6B1142A6701F}"/>
    <hyperlink ref="Q16" r:id="rId27" xr:uid="{6F5317DC-E0D2-4B08-AA6F-A70F740957CE}"/>
  </hyperlinks>
  <pageMargins left="0.7" right="0.7" top="0.75" bottom="0.75" header="0.3" footer="0.3"/>
  <pageSetup orientation="portrait" r:id="rId28"/>
  <drawing r:id="rId29"/>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F5687-DB55-4DF6-A55B-7CCB0EDE110C}">
  <sheetPr>
    <tabColor rgb="FF9900FF"/>
    <outlinePr summaryBelow="0" summaryRight="0"/>
  </sheetPr>
  <dimension ref="A1:G1012"/>
  <sheetViews>
    <sheetView workbookViewId="0">
      <selection activeCell="E12" sqref="E12"/>
    </sheetView>
  </sheetViews>
  <sheetFormatPr baseColWidth="10" defaultColWidth="14.33203125" defaultRowHeight="15.75" customHeight="1"/>
  <cols>
    <col min="1" max="1" width="26.33203125" style="1418" bestFit="1" customWidth="1"/>
    <col min="2" max="4" width="14.5" style="1418" bestFit="1" customWidth="1"/>
    <col min="5" max="5" width="14.33203125" style="1418"/>
    <col min="6" max="6" width="21.33203125" style="1418" bestFit="1" customWidth="1"/>
    <col min="7" max="7" width="14.5" style="1418" bestFit="1" customWidth="1"/>
    <col min="8" max="16384" width="14.33203125" style="1418"/>
  </cols>
  <sheetData>
    <row r="1" spans="1:7" ht="17">
      <c r="A1" s="1641" t="s">
        <v>1089</v>
      </c>
      <c r="B1" s="1594"/>
      <c r="C1" s="1447" t="s">
        <v>10</v>
      </c>
      <c r="D1" s="1640" t="s">
        <v>0</v>
      </c>
      <c r="F1" s="2098" t="s">
        <v>1046</v>
      </c>
      <c r="G1" s="2099"/>
    </row>
    <row r="2" spans="1:7" ht="15.75" customHeight="1">
      <c r="A2" s="1635" t="s">
        <v>1045</v>
      </c>
      <c r="B2" s="1683" t="s">
        <v>932</v>
      </c>
      <c r="F2" s="1447" t="s">
        <v>949</v>
      </c>
      <c r="G2" s="1628">
        <f>AVERAGE(D13:D1012)</f>
        <v>2719365.4824631806</v>
      </c>
    </row>
    <row r="3" spans="1:7" ht="15.75" customHeight="1">
      <c r="A3" s="1635" t="s">
        <v>1043</v>
      </c>
      <c r="B3" s="1639"/>
      <c r="F3" s="1447" t="s">
        <v>1017</v>
      </c>
      <c r="G3" s="1628">
        <f>MEDIAN(D13:D1012)</f>
        <v>2719365.4824631587</v>
      </c>
    </row>
    <row r="4" spans="1:7" ht="15.75" customHeight="1">
      <c r="A4" s="1635" t="s">
        <v>1080</v>
      </c>
      <c r="F4" s="1447" t="s">
        <v>1016</v>
      </c>
      <c r="G4" s="1628">
        <f>STDEV(D13:D1012)</f>
        <v>2.1897031757841057E-8</v>
      </c>
    </row>
    <row r="5" spans="1:7" ht="15.75" customHeight="1">
      <c r="A5" s="1635" t="s">
        <v>1077</v>
      </c>
      <c r="F5" s="1447" t="s">
        <v>1015</v>
      </c>
      <c r="G5" s="1628">
        <f>PERCENTILE(D13:D1012,0.25)</f>
        <v>2719365.4824631587</v>
      </c>
    </row>
    <row r="6" spans="1:7" ht="15.75" customHeight="1">
      <c r="A6" s="1635" t="s">
        <v>1074</v>
      </c>
      <c r="F6" s="1447" t="s">
        <v>1014</v>
      </c>
      <c r="G6" s="1628">
        <f>PERCENTILE(D13:D1012,0.75)</f>
        <v>2719365.4824631587</v>
      </c>
    </row>
    <row r="7" spans="1:7" ht="15.75" customHeight="1">
      <c r="A7" s="1635" t="s">
        <v>1034</v>
      </c>
      <c r="F7" s="1447" t="s">
        <v>1008</v>
      </c>
      <c r="G7" s="1628">
        <f>PERCENTILE(D13:D1012,0.025)</f>
        <v>2719365.4824631587</v>
      </c>
    </row>
    <row r="8" spans="1:7" ht="15.75" customHeight="1">
      <c r="A8" s="1635" t="s">
        <v>1006</v>
      </c>
      <c r="B8" s="1628">
        <f>'FE Cash Flow'!B21</f>
        <v>2719365.4824631587</v>
      </c>
      <c r="C8" s="2100" t="s">
        <v>1027</v>
      </c>
      <c r="D8" s="2100"/>
      <c r="F8" s="1447" t="s">
        <v>1029</v>
      </c>
      <c r="G8" s="1628">
        <f>PERCENTILE(D13:D1012,0.975)</f>
        <v>2719365.4824631587</v>
      </c>
    </row>
    <row r="9" spans="1:7" ht="15.75" customHeight="1">
      <c r="A9" s="1635"/>
      <c r="B9" s="1635"/>
      <c r="F9" s="1447" t="s">
        <v>1013</v>
      </c>
      <c r="G9" s="1628">
        <f>PERCENTILE(D13:D1012,0.05)</f>
        <v>2719365.4824631587</v>
      </c>
    </row>
    <row r="10" spans="1:7" ht="15.75" customHeight="1">
      <c r="A10" s="1635"/>
      <c r="B10" s="1635"/>
      <c r="F10" s="1447" t="s">
        <v>8</v>
      </c>
      <c r="G10" s="1628">
        <f>MIN(D13:D1012)</f>
        <v>2719365.4824631587</v>
      </c>
    </row>
    <row r="11" spans="1:7" ht="15.75" customHeight="1">
      <c r="A11" s="1635"/>
      <c r="B11" s="1635"/>
      <c r="C11" s="1633" t="s">
        <v>1024</v>
      </c>
      <c r="D11" s="1633" t="s">
        <v>1006</v>
      </c>
      <c r="F11" s="1447" t="s">
        <v>9</v>
      </c>
      <c r="G11" s="1628">
        <f>MAX(D13:D1012)</f>
        <v>2719365.4824631587</v>
      </c>
    </row>
    <row r="12" spans="1:7" ht="15.75" customHeight="1">
      <c r="A12" s="1635"/>
      <c r="B12" s="1635"/>
      <c r="C12" s="1594"/>
      <c r="D12" s="1682">
        <f>B8</f>
        <v>2719365.4824631587</v>
      </c>
      <c r="F12" s="1447" t="s">
        <v>1012</v>
      </c>
      <c r="G12" s="1627">
        <f>COUNTIF(D13:D1012,"&lt;0")/1000</f>
        <v>0</v>
      </c>
    </row>
    <row r="13" spans="1:7" ht="15.75" customHeight="1">
      <c r="A13" s="1635"/>
      <c r="B13" s="1635"/>
      <c r="C13" s="1594">
        <v>1</v>
      </c>
      <c r="D13" s="1631">
        <f t="dataTable" ref="D13:D1012" dt2D="0" dtr="0" r1="E12"/>
        <v>2719365.4824631587</v>
      </c>
      <c r="F13" s="1447" t="s">
        <v>1022</v>
      </c>
    </row>
    <row r="14" spans="1:7" ht="15.75" customHeight="1">
      <c r="C14" s="1594">
        <v>2</v>
      </c>
      <c r="D14" s="1631">
        <v>2719365.4824631587</v>
      </c>
      <c r="F14" s="2101" t="s">
        <v>1088</v>
      </c>
      <c r="G14" s="2100"/>
    </row>
    <row r="15" spans="1:7" ht="16">
      <c r="C15" s="1594">
        <v>3</v>
      </c>
      <c r="D15" s="1631">
        <v>2719365.4824631587</v>
      </c>
    </row>
    <row r="16" spans="1:7" ht="16">
      <c r="C16" s="1594">
        <v>4</v>
      </c>
      <c r="D16" s="1631">
        <v>2719365.4824631587</v>
      </c>
    </row>
    <row r="17" spans="3:4" ht="16">
      <c r="C17" s="1594">
        <v>5</v>
      </c>
      <c r="D17" s="1631">
        <v>2719365.4824631587</v>
      </c>
    </row>
    <row r="18" spans="3:4" ht="16">
      <c r="C18" s="1594">
        <v>6</v>
      </c>
      <c r="D18" s="1631">
        <v>2719365.4824631587</v>
      </c>
    </row>
    <row r="19" spans="3:4" ht="16">
      <c r="C19" s="1594">
        <v>7</v>
      </c>
      <c r="D19" s="1631">
        <v>2719365.4824631587</v>
      </c>
    </row>
    <row r="20" spans="3:4" ht="16">
      <c r="C20" s="1594">
        <v>8</v>
      </c>
      <c r="D20" s="1631">
        <v>2719365.4824631587</v>
      </c>
    </row>
    <row r="21" spans="3:4" ht="16">
      <c r="C21" s="1594">
        <v>9</v>
      </c>
      <c r="D21" s="1631">
        <v>2719365.4824631587</v>
      </c>
    </row>
    <row r="22" spans="3:4" ht="16">
      <c r="C22" s="1594">
        <v>10</v>
      </c>
      <c r="D22" s="1631">
        <v>2719365.4824631587</v>
      </c>
    </row>
    <row r="23" spans="3:4" ht="16">
      <c r="C23" s="1594">
        <v>11</v>
      </c>
      <c r="D23" s="1631">
        <v>2719365.4824631587</v>
      </c>
    </row>
    <row r="24" spans="3:4" ht="16">
      <c r="C24" s="1594">
        <v>12</v>
      </c>
      <c r="D24" s="1631">
        <v>2719365.4824631587</v>
      </c>
    </row>
    <row r="25" spans="3:4" ht="16">
      <c r="C25" s="1594">
        <v>13</v>
      </c>
      <c r="D25" s="1631">
        <v>2719365.4824631587</v>
      </c>
    </row>
    <row r="26" spans="3:4" ht="16">
      <c r="C26" s="1594">
        <v>14</v>
      </c>
      <c r="D26" s="1631">
        <v>2719365.4824631587</v>
      </c>
    </row>
    <row r="27" spans="3:4" ht="16">
      <c r="C27" s="1594">
        <v>15</v>
      </c>
      <c r="D27" s="1631">
        <v>2719365.4824631587</v>
      </c>
    </row>
    <row r="28" spans="3:4" ht="16">
      <c r="C28" s="1594">
        <v>16</v>
      </c>
      <c r="D28" s="1631">
        <v>2719365.4824631587</v>
      </c>
    </row>
    <row r="29" spans="3:4" ht="16">
      <c r="C29" s="1594">
        <v>17</v>
      </c>
      <c r="D29" s="1631">
        <v>2719365.4824631587</v>
      </c>
    </row>
    <row r="30" spans="3:4" ht="16">
      <c r="C30" s="1594">
        <v>18</v>
      </c>
      <c r="D30" s="1631">
        <v>2719365.4824631587</v>
      </c>
    </row>
    <row r="31" spans="3:4" ht="16">
      <c r="C31" s="1594">
        <v>19</v>
      </c>
      <c r="D31" s="1631">
        <v>2719365.4824631587</v>
      </c>
    </row>
    <row r="32" spans="3:4" ht="16">
      <c r="C32" s="1594">
        <v>20</v>
      </c>
      <c r="D32" s="1631">
        <v>2719365.4824631587</v>
      </c>
    </row>
    <row r="33" spans="3:4" ht="16">
      <c r="C33" s="1594">
        <v>21</v>
      </c>
      <c r="D33" s="1631">
        <v>2719365.4824631587</v>
      </c>
    </row>
    <row r="34" spans="3:4" ht="16">
      <c r="C34" s="1594">
        <v>22</v>
      </c>
      <c r="D34" s="1631">
        <v>2719365.4824631587</v>
      </c>
    </row>
    <row r="35" spans="3:4" ht="16">
      <c r="C35" s="1594">
        <v>23</v>
      </c>
      <c r="D35" s="1631">
        <v>2719365.4824631587</v>
      </c>
    </row>
    <row r="36" spans="3:4" ht="16">
      <c r="C36" s="1594">
        <v>24</v>
      </c>
      <c r="D36" s="1631">
        <v>2719365.4824631587</v>
      </c>
    </row>
    <row r="37" spans="3:4" ht="16">
      <c r="C37" s="1594">
        <v>25</v>
      </c>
      <c r="D37" s="1631">
        <v>2719365.4824631587</v>
      </c>
    </row>
    <row r="38" spans="3:4" ht="16">
      <c r="C38" s="1594">
        <v>26</v>
      </c>
      <c r="D38" s="1631">
        <v>2719365.4824631587</v>
      </c>
    </row>
    <row r="39" spans="3:4" ht="16">
      <c r="C39" s="1594">
        <v>27</v>
      </c>
      <c r="D39" s="1631">
        <v>2719365.4824631587</v>
      </c>
    </row>
    <row r="40" spans="3:4" ht="16">
      <c r="C40" s="1594">
        <v>28</v>
      </c>
      <c r="D40" s="1631">
        <v>2719365.4824631587</v>
      </c>
    </row>
    <row r="41" spans="3:4" ht="16">
      <c r="C41" s="1594">
        <v>29</v>
      </c>
      <c r="D41" s="1631">
        <v>2719365.4824631587</v>
      </c>
    </row>
    <row r="42" spans="3:4" ht="16">
      <c r="C42" s="1594">
        <v>30</v>
      </c>
      <c r="D42" s="1631">
        <v>2719365.4824631587</v>
      </c>
    </row>
    <row r="43" spans="3:4" ht="16">
      <c r="C43" s="1594">
        <v>31</v>
      </c>
      <c r="D43" s="1631">
        <v>2719365.4824631587</v>
      </c>
    </row>
    <row r="44" spans="3:4" ht="16">
      <c r="C44" s="1594">
        <v>32</v>
      </c>
      <c r="D44" s="1631">
        <v>2719365.4824631587</v>
      </c>
    </row>
    <row r="45" spans="3:4" ht="16">
      <c r="C45" s="1594">
        <v>33</v>
      </c>
      <c r="D45" s="1631">
        <v>2719365.4824631587</v>
      </c>
    </row>
    <row r="46" spans="3:4" ht="16">
      <c r="C46" s="1594">
        <v>34</v>
      </c>
      <c r="D46" s="1631">
        <v>2719365.4824631587</v>
      </c>
    </row>
    <row r="47" spans="3:4" ht="16">
      <c r="C47" s="1594">
        <v>35</v>
      </c>
      <c r="D47" s="1631">
        <v>2719365.4824631587</v>
      </c>
    </row>
    <row r="48" spans="3:4" ht="16">
      <c r="C48" s="1594">
        <v>36</v>
      </c>
      <c r="D48" s="1631">
        <v>2719365.4824631587</v>
      </c>
    </row>
    <row r="49" spans="3:4" ht="16">
      <c r="C49" s="1594">
        <v>37</v>
      </c>
      <c r="D49" s="1631">
        <v>2719365.4824631587</v>
      </c>
    </row>
    <row r="50" spans="3:4" ht="16">
      <c r="C50" s="1594">
        <v>38</v>
      </c>
      <c r="D50" s="1631">
        <v>2719365.4824631587</v>
      </c>
    </row>
    <row r="51" spans="3:4" ht="16">
      <c r="C51" s="1594">
        <v>39</v>
      </c>
      <c r="D51" s="1631">
        <v>2719365.4824631587</v>
      </c>
    </row>
    <row r="52" spans="3:4" ht="16">
      <c r="C52" s="1594">
        <v>40</v>
      </c>
      <c r="D52" s="1631">
        <v>2719365.4824631587</v>
      </c>
    </row>
    <row r="53" spans="3:4" ht="16">
      <c r="C53" s="1594">
        <v>41</v>
      </c>
      <c r="D53" s="1631">
        <v>2719365.4824631587</v>
      </c>
    </row>
    <row r="54" spans="3:4" ht="16">
      <c r="C54" s="1594">
        <v>42</v>
      </c>
      <c r="D54" s="1631">
        <v>2719365.4824631587</v>
      </c>
    </row>
    <row r="55" spans="3:4" ht="16">
      <c r="C55" s="1594">
        <v>43</v>
      </c>
      <c r="D55" s="1631">
        <v>2719365.4824631587</v>
      </c>
    </row>
    <row r="56" spans="3:4" ht="16">
      <c r="C56" s="1594">
        <v>44</v>
      </c>
      <c r="D56" s="1631">
        <v>2719365.4824631587</v>
      </c>
    </row>
    <row r="57" spans="3:4" ht="16">
      <c r="C57" s="1594">
        <v>45</v>
      </c>
      <c r="D57" s="1631">
        <v>2719365.4824631587</v>
      </c>
    </row>
    <row r="58" spans="3:4" ht="16">
      <c r="C58" s="1594">
        <v>46</v>
      </c>
      <c r="D58" s="1631">
        <v>2719365.4824631587</v>
      </c>
    </row>
    <row r="59" spans="3:4" ht="16">
      <c r="C59" s="1594">
        <v>47</v>
      </c>
      <c r="D59" s="1631">
        <v>2719365.4824631587</v>
      </c>
    </row>
    <row r="60" spans="3:4" ht="16">
      <c r="C60" s="1594">
        <v>48</v>
      </c>
      <c r="D60" s="1631">
        <v>2719365.4824631587</v>
      </c>
    </row>
    <row r="61" spans="3:4" ht="16">
      <c r="C61" s="1594">
        <v>49</v>
      </c>
      <c r="D61" s="1631">
        <v>2719365.4824631587</v>
      </c>
    </row>
    <row r="62" spans="3:4" ht="16">
      <c r="C62" s="1594">
        <v>50</v>
      </c>
      <c r="D62" s="1631">
        <v>2719365.4824631587</v>
      </c>
    </row>
    <row r="63" spans="3:4" ht="16">
      <c r="C63" s="1594">
        <v>51</v>
      </c>
      <c r="D63" s="1631">
        <v>2719365.4824631587</v>
      </c>
    </row>
    <row r="64" spans="3:4" ht="16">
      <c r="C64" s="1594">
        <v>52</v>
      </c>
      <c r="D64" s="1631">
        <v>2719365.4824631587</v>
      </c>
    </row>
    <row r="65" spans="3:4" ht="16">
      <c r="C65" s="1594">
        <v>53</v>
      </c>
      <c r="D65" s="1631">
        <v>2719365.4824631587</v>
      </c>
    </row>
    <row r="66" spans="3:4" ht="16">
      <c r="C66" s="1594">
        <v>54</v>
      </c>
      <c r="D66" s="1631">
        <v>2719365.4824631587</v>
      </c>
    </row>
    <row r="67" spans="3:4" ht="16">
      <c r="C67" s="1594">
        <v>55</v>
      </c>
      <c r="D67" s="1631">
        <v>2719365.4824631587</v>
      </c>
    </row>
    <row r="68" spans="3:4" ht="16">
      <c r="C68" s="1594">
        <v>56</v>
      </c>
      <c r="D68" s="1631">
        <v>2719365.4824631587</v>
      </c>
    </row>
    <row r="69" spans="3:4" ht="16">
      <c r="C69" s="1594">
        <v>57</v>
      </c>
      <c r="D69" s="1631">
        <v>2719365.4824631587</v>
      </c>
    </row>
    <row r="70" spans="3:4" ht="16">
      <c r="C70" s="1594">
        <v>58</v>
      </c>
      <c r="D70" s="1631">
        <v>2719365.4824631587</v>
      </c>
    </row>
    <row r="71" spans="3:4" ht="16">
      <c r="C71" s="1594">
        <v>59</v>
      </c>
      <c r="D71" s="1631">
        <v>2719365.4824631587</v>
      </c>
    </row>
    <row r="72" spans="3:4" ht="16">
      <c r="C72" s="1594">
        <v>60</v>
      </c>
      <c r="D72" s="1631">
        <v>2719365.4824631587</v>
      </c>
    </row>
    <row r="73" spans="3:4" ht="16">
      <c r="C73" s="1594">
        <v>61</v>
      </c>
      <c r="D73" s="1631">
        <v>2719365.4824631587</v>
      </c>
    </row>
    <row r="74" spans="3:4" ht="16">
      <c r="C74" s="1594">
        <v>62</v>
      </c>
      <c r="D74" s="1631">
        <v>2719365.4824631587</v>
      </c>
    </row>
    <row r="75" spans="3:4" ht="16">
      <c r="C75" s="1594">
        <v>63</v>
      </c>
      <c r="D75" s="1631">
        <v>2719365.4824631587</v>
      </c>
    </row>
    <row r="76" spans="3:4" ht="16">
      <c r="C76" s="1594">
        <v>64</v>
      </c>
      <c r="D76" s="1631">
        <v>2719365.4824631587</v>
      </c>
    </row>
    <row r="77" spans="3:4" ht="16">
      <c r="C77" s="1594">
        <v>65</v>
      </c>
      <c r="D77" s="1631">
        <v>2719365.4824631587</v>
      </c>
    </row>
    <row r="78" spans="3:4" ht="16">
      <c r="C78" s="1594">
        <v>66</v>
      </c>
      <c r="D78" s="1631">
        <v>2719365.4824631587</v>
      </c>
    </row>
    <row r="79" spans="3:4" ht="16">
      <c r="C79" s="1594">
        <v>67</v>
      </c>
      <c r="D79" s="1631">
        <v>2719365.4824631587</v>
      </c>
    </row>
    <row r="80" spans="3:4" ht="16">
      <c r="C80" s="1594">
        <v>68</v>
      </c>
      <c r="D80" s="1631">
        <v>2719365.4824631587</v>
      </c>
    </row>
    <row r="81" spans="3:4" ht="16">
      <c r="C81" s="1594">
        <v>69</v>
      </c>
      <c r="D81" s="1631">
        <v>2719365.4824631587</v>
      </c>
    </row>
    <row r="82" spans="3:4" ht="16">
      <c r="C82" s="1594">
        <v>70</v>
      </c>
      <c r="D82" s="1631">
        <v>2719365.4824631587</v>
      </c>
    </row>
    <row r="83" spans="3:4" ht="16">
      <c r="C83" s="1594">
        <v>71</v>
      </c>
      <c r="D83" s="1631">
        <v>2719365.4824631587</v>
      </c>
    </row>
    <row r="84" spans="3:4" ht="16">
      <c r="C84" s="1594">
        <v>72</v>
      </c>
      <c r="D84" s="1631">
        <v>2719365.4824631587</v>
      </c>
    </row>
    <row r="85" spans="3:4" ht="16">
      <c r="C85" s="1594">
        <v>73</v>
      </c>
      <c r="D85" s="1631">
        <v>2719365.4824631587</v>
      </c>
    </row>
    <row r="86" spans="3:4" ht="16">
      <c r="C86" s="1594">
        <v>74</v>
      </c>
      <c r="D86" s="1631">
        <v>2719365.4824631587</v>
      </c>
    </row>
    <row r="87" spans="3:4" ht="16">
      <c r="C87" s="1594">
        <v>75</v>
      </c>
      <c r="D87" s="1631">
        <v>2719365.4824631587</v>
      </c>
    </row>
    <row r="88" spans="3:4" ht="16">
      <c r="C88" s="1594">
        <v>76</v>
      </c>
      <c r="D88" s="1631">
        <v>2719365.4824631587</v>
      </c>
    </row>
    <row r="89" spans="3:4" ht="16">
      <c r="C89" s="1594">
        <v>77</v>
      </c>
      <c r="D89" s="1631">
        <v>2719365.4824631587</v>
      </c>
    </row>
    <row r="90" spans="3:4" ht="16">
      <c r="C90" s="1594">
        <v>78</v>
      </c>
      <c r="D90" s="1631">
        <v>2719365.4824631587</v>
      </c>
    </row>
    <row r="91" spans="3:4" ht="16">
      <c r="C91" s="1594">
        <v>79</v>
      </c>
      <c r="D91" s="1631">
        <v>2719365.4824631587</v>
      </c>
    </row>
    <row r="92" spans="3:4" ht="16">
      <c r="C92" s="1594">
        <v>80</v>
      </c>
      <c r="D92" s="1631">
        <v>2719365.4824631587</v>
      </c>
    </row>
    <row r="93" spans="3:4" ht="16">
      <c r="C93" s="1594">
        <v>81</v>
      </c>
      <c r="D93" s="1631">
        <v>2719365.4824631587</v>
      </c>
    </row>
    <row r="94" spans="3:4" ht="16">
      <c r="C94" s="1594">
        <v>82</v>
      </c>
      <c r="D94" s="1631">
        <v>2719365.4824631587</v>
      </c>
    </row>
    <row r="95" spans="3:4" ht="16">
      <c r="C95" s="1594">
        <v>83</v>
      </c>
      <c r="D95" s="1631">
        <v>2719365.4824631587</v>
      </c>
    </row>
    <row r="96" spans="3:4" ht="16">
      <c r="C96" s="1594">
        <v>84</v>
      </c>
      <c r="D96" s="1631">
        <v>2719365.4824631587</v>
      </c>
    </row>
    <row r="97" spans="3:4" ht="16">
      <c r="C97" s="1594">
        <v>85</v>
      </c>
      <c r="D97" s="1631">
        <v>2719365.4824631587</v>
      </c>
    </row>
    <row r="98" spans="3:4" ht="16">
      <c r="C98" s="1594">
        <v>86</v>
      </c>
      <c r="D98" s="1631">
        <v>2719365.4824631587</v>
      </c>
    </row>
    <row r="99" spans="3:4" ht="16">
      <c r="C99" s="1594">
        <v>87</v>
      </c>
      <c r="D99" s="1631">
        <v>2719365.4824631587</v>
      </c>
    </row>
    <row r="100" spans="3:4" ht="16">
      <c r="C100" s="1594">
        <v>88</v>
      </c>
      <c r="D100" s="1631">
        <v>2719365.4824631587</v>
      </c>
    </row>
    <row r="101" spans="3:4" ht="16">
      <c r="C101" s="1594">
        <v>89</v>
      </c>
      <c r="D101" s="1631">
        <v>2719365.4824631587</v>
      </c>
    </row>
    <row r="102" spans="3:4" ht="16">
      <c r="C102" s="1594">
        <v>90</v>
      </c>
      <c r="D102" s="1631">
        <v>2719365.4824631587</v>
      </c>
    </row>
    <row r="103" spans="3:4" ht="16">
      <c r="C103" s="1594">
        <v>91</v>
      </c>
      <c r="D103" s="1631">
        <v>2719365.4824631587</v>
      </c>
    </row>
    <row r="104" spans="3:4" ht="16">
      <c r="C104" s="1594">
        <v>92</v>
      </c>
      <c r="D104" s="1631">
        <v>2719365.4824631587</v>
      </c>
    </row>
    <row r="105" spans="3:4" ht="16">
      <c r="C105" s="1594">
        <v>93</v>
      </c>
      <c r="D105" s="1631">
        <v>2719365.4824631587</v>
      </c>
    </row>
    <row r="106" spans="3:4" ht="16">
      <c r="C106" s="1594">
        <v>94</v>
      </c>
      <c r="D106" s="1631">
        <v>2719365.4824631587</v>
      </c>
    </row>
    <row r="107" spans="3:4" ht="16">
      <c r="C107" s="1594">
        <v>95</v>
      </c>
      <c r="D107" s="1631">
        <v>2719365.4824631587</v>
      </c>
    </row>
    <row r="108" spans="3:4" ht="16">
      <c r="C108" s="1594">
        <v>96</v>
      </c>
      <c r="D108" s="1631">
        <v>2719365.4824631587</v>
      </c>
    </row>
    <row r="109" spans="3:4" ht="16">
      <c r="C109" s="1594">
        <v>97</v>
      </c>
      <c r="D109" s="1631">
        <v>2719365.4824631587</v>
      </c>
    </row>
    <row r="110" spans="3:4" ht="16">
      <c r="C110" s="1594">
        <v>98</v>
      </c>
      <c r="D110" s="1631">
        <v>2719365.4824631587</v>
      </c>
    </row>
    <row r="111" spans="3:4" ht="16">
      <c r="C111" s="1594">
        <v>99</v>
      </c>
      <c r="D111" s="1631">
        <v>2719365.4824631587</v>
      </c>
    </row>
    <row r="112" spans="3:4" ht="16">
      <c r="C112" s="1594">
        <v>100</v>
      </c>
      <c r="D112" s="1631">
        <v>2719365.4824631587</v>
      </c>
    </row>
    <row r="113" spans="3:4" ht="16">
      <c r="C113" s="1594">
        <v>101</v>
      </c>
      <c r="D113" s="1631">
        <v>2719365.4824631587</v>
      </c>
    </row>
    <row r="114" spans="3:4" ht="16">
      <c r="C114" s="1594">
        <v>102</v>
      </c>
      <c r="D114" s="1631">
        <v>2719365.4824631587</v>
      </c>
    </row>
    <row r="115" spans="3:4" ht="16">
      <c r="C115" s="1594">
        <v>103</v>
      </c>
      <c r="D115" s="1631">
        <v>2719365.4824631587</v>
      </c>
    </row>
    <row r="116" spans="3:4" ht="16">
      <c r="C116" s="1594">
        <v>104</v>
      </c>
      <c r="D116" s="1631">
        <v>2719365.4824631587</v>
      </c>
    </row>
    <row r="117" spans="3:4" ht="16">
      <c r="C117" s="1594">
        <v>105</v>
      </c>
      <c r="D117" s="1631">
        <v>2719365.4824631587</v>
      </c>
    </row>
    <row r="118" spans="3:4" ht="16">
      <c r="C118" s="1594">
        <v>106</v>
      </c>
      <c r="D118" s="1631">
        <v>2719365.4824631587</v>
      </c>
    </row>
    <row r="119" spans="3:4" ht="16">
      <c r="C119" s="1594">
        <v>107</v>
      </c>
      <c r="D119" s="1631">
        <v>2719365.4824631587</v>
      </c>
    </row>
    <row r="120" spans="3:4" ht="16">
      <c r="C120" s="1594">
        <v>108</v>
      </c>
      <c r="D120" s="1631">
        <v>2719365.4824631587</v>
      </c>
    </row>
    <row r="121" spans="3:4" ht="16">
      <c r="C121" s="1594">
        <v>109</v>
      </c>
      <c r="D121" s="1631">
        <v>2719365.4824631587</v>
      </c>
    </row>
    <row r="122" spans="3:4" ht="16">
      <c r="C122" s="1594">
        <v>110</v>
      </c>
      <c r="D122" s="1631">
        <v>2719365.4824631587</v>
      </c>
    </row>
    <row r="123" spans="3:4" ht="16">
      <c r="C123" s="1594">
        <v>111</v>
      </c>
      <c r="D123" s="1631">
        <v>2719365.4824631587</v>
      </c>
    </row>
    <row r="124" spans="3:4" ht="16">
      <c r="C124" s="1594">
        <v>112</v>
      </c>
      <c r="D124" s="1631">
        <v>2719365.4824631587</v>
      </c>
    </row>
    <row r="125" spans="3:4" ht="16">
      <c r="C125" s="1594">
        <v>113</v>
      </c>
      <c r="D125" s="1631">
        <v>2719365.4824631587</v>
      </c>
    </row>
    <row r="126" spans="3:4" ht="16">
      <c r="C126" s="1594">
        <v>114</v>
      </c>
      <c r="D126" s="1631">
        <v>2719365.4824631587</v>
      </c>
    </row>
    <row r="127" spans="3:4" ht="16">
      <c r="C127" s="1594">
        <v>115</v>
      </c>
      <c r="D127" s="1631">
        <v>2719365.4824631587</v>
      </c>
    </row>
    <row r="128" spans="3:4" ht="16">
      <c r="C128" s="1594">
        <v>116</v>
      </c>
      <c r="D128" s="1631">
        <v>2719365.4824631587</v>
      </c>
    </row>
    <row r="129" spans="3:4" ht="16">
      <c r="C129" s="1594">
        <v>117</v>
      </c>
      <c r="D129" s="1631">
        <v>2719365.4824631587</v>
      </c>
    </row>
    <row r="130" spans="3:4" ht="16">
      <c r="C130" s="1594">
        <v>118</v>
      </c>
      <c r="D130" s="1631">
        <v>2719365.4824631587</v>
      </c>
    </row>
    <row r="131" spans="3:4" ht="16">
      <c r="C131" s="1594">
        <v>119</v>
      </c>
      <c r="D131" s="1631">
        <v>2719365.4824631587</v>
      </c>
    </row>
    <row r="132" spans="3:4" ht="16">
      <c r="C132" s="1594">
        <v>120</v>
      </c>
      <c r="D132" s="1631">
        <v>2719365.4824631587</v>
      </c>
    </row>
    <row r="133" spans="3:4" ht="16">
      <c r="C133" s="1594">
        <v>121</v>
      </c>
      <c r="D133" s="1631">
        <v>2719365.4824631587</v>
      </c>
    </row>
    <row r="134" spans="3:4" ht="16">
      <c r="C134" s="1594">
        <v>122</v>
      </c>
      <c r="D134" s="1631">
        <v>2719365.4824631587</v>
      </c>
    </row>
    <row r="135" spans="3:4" ht="16">
      <c r="C135" s="1594">
        <v>123</v>
      </c>
      <c r="D135" s="1631">
        <v>2719365.4824631587</v>
      </c>
    </row>
    <row r="136" spans="3:4" ht="16">
      <c r="C136" s="1594">
        <v>124</v>
      </c>
      <c r="D136" s="1631">
        <v>2719365.4824631587</v>
      </c>
    </row>
    <row r="137" spans="3:4" ht="16">
      <c r="C137" s="1594">
        <v>125</v>
      </c>
      <c r="D137" s="1631">
        <v>2719365.4824631587</v>
      </c>
    </row>
    <row r="138" spans="3:4" ht="16">
      <c r="C138" s="1594">
        <v>126</v>
      </c>
      <c r="D138" s="1631">
        <v>2719365.4824631587</v>
      </c>
    </row>
    <row r="139" spans="3:4" ht="16">
      <c r="C139" s="1594">
        <v>127</v>
      </c>
      <c r="D139" s="1631">
        <v>2719365.4824631587</v>
      </c>
    </row>
    <row r="140" spans="3:4" ht="16">
      <c r="C140" s="1594">
        <v>128</v>
      </c>
      <c r="D140" s="1631">
        <v>2719365.4824631587</v>
      </c>
    </row>
    <row r="141" spans="3:4" ht="16">
      <c r="C141" s="1594">
        <v>129</v>
      </c>
      <c r="D141" s="1631">
        <v>2719365.4824631587</v>
      </c>
    </row>
    <row r="142" spans="3:4" ht="16">
      <c r="C142" s="1594">
        <v>130</v>
      </c>
      <c r="D142" s="1631">
        <v>2719365.4824631587</v>
      </c>
    </row>
    <row r="143" spans="3:4" ht="16">
      <c r="C143" s="1594">
        <v>131</v>
      </c>
      <c r="D143" s="1631">
        <v>2719365.4824631587</v>
      </c>
    </row>
    <row r="144" spans="3:4" ht="16">
      <c r="C144" s="1594">
        <v>132</v>
      </c>
      <c r="D144" s="1631">
        <v>2719365.4824631587</v>
      </c>
    </row>
    <row r="145" spans="3:4" ht="16">
      <c r="C145" s="1594">
        <v>133</v>
      </c>
      <c r="D145" s="1631">
        <v>2719365.4824631587</v>
      </c>
    </row>
    <row r="146" spans="3:4" ht="16">
      <c r="C146" s="1594">
        <v>134</v>
      </c>
      <c r="D146" s="1631">
        <v>2719365.4824631587</v>
      </c>
    </row>
    <row r="147" spans="3:4" ht="16">
      <c r="C147" s="1594">
        <v>135</v>
      </c>
      <c r="D147" s="1631">
        <v>2719365.4824631587</v>
      </c>
    </row>
    <row r="148" spans="3:4" ht="16">
      <c r="C148" s="1594">
        <v>136</v>
      </c>
      <c r="D148" s="1631">
        <v>2719365.4824631587</v>
      </c>
    </row>
    <row r="149" spans="3:4" ht="16">
      <c r="C149" s="1594">
        <v>137</v>
      </c>
      <c r="D149" s="1631">
        <v>2719365.4824631587</v>
      </c>
    </row>
    <row r="150" spans="3:4" ht="16">
      <c r="C150" s="1594">
        <v>138</v>
      </c>
      <c r="D150" s="1631">
        <v>2719365.4824631587</v>
      </c>
    </row>
    <row r="151" spans="3:4" ht="16">
      <c r="C151" s="1594">
        <v>139</v>
      </c>
      <c r="D151" s="1631">
        <v>2719365.4824631587</v>
      </c>
    </row>
    <row r="152" spans="3:4" ht="16">
      <c r="C152" s="1594">
        <v>140</v>
      </c>
      <c r="D152" s="1631">
        <v>2719365.4824631587</v>
      </c>
    </row>
    <row r="153" spans="3:4" ht="16">
      <c r="C153" s="1594">
        <v>141</v>
      </c>
      <c r="D153" s="1631">
        <v>2719365.4824631587</v>
      </c>
    </row>
    <row r="154" spans="3:4" ht="16">
      <c r="C154" s="1594">
        <v>142</v>
      </c>
      <c r="D154" s="1631">
        <v>2719365.4824631587</v>
      </c>
    </row>
    <row r="155" spans="3:4" ht="16">
      <c r="C155" s="1594">
        <v>143</v>
      </c>
      <c r="D155" s="1631">
        <v>2719365.4824631587</v>
      </c>
    </row>
    <row r="156" spans="3:4" ht="16">
      <c r="C156" s="1594">
        <v>144</v>
      </c>
      <c r="D156" s="1631">
        <v>2719365.4824631587</v>
      </c>
    </row>
    <row r="157" spans="3:4" ht="16">
      <c r="C157" s="1594">
        <v>145</v>
      </c>
      <c r="D157" s="1631">
        <v>2719365.4824631587</v>
      </c>
    </row>
    <row r="158" spans="3:4" ht="16">
      <c r="C158" s="1594">
        <v>146</v>
      </c>
      <c r="D158" s="1631">
        <v>2719365.4824631587</v>
      </c>
    </row>
    <row r="159" spans="3:4" ht="16">
      <c r="C159" s="1594">
        <v>147</v>
      </c>
      <c r="D159" s="1631">
        <v>2719365.4824631587</v>
      </c>
    </row>
    <row r="160" spans="3:4" ht="16">
      <c r="C160" s="1594">
        <v>148</v>
      </c>
      <c r="D160" s="1631">
        <v>2719365.4824631587</v>
      </c>
    </row>
    <row r="161" spans="3:4" ht="16">
      <c r="C161" s="1594">
        <v>149</v>
      </c>
      <c r="D161" s="1631">
        <v>2719365.4824631587</v>
      </c>
    </row>
    <row r="162" spans="3:4" ht="16">
      <c r="C162" s="1594">
        <v>150</v>
      </c>
      <c r="D162" s="1631">
        <v>2719365.4824631587</v>
      </c>
    </row>
    <row r="163" spans="3:4" ht="16">
      <c r="C163" s="1594">
        <v>151</v>
      </c>
      <c r="D163" s="1631">
        <v>2719365.4824631587</v>
      </c>
    </row>
    <row r="164" spans="3:4" ht="16">
      <c r="C164" s="1594">
        <v>152</v>
      </c>
      <c r="D164" s="1631">
        <v>2719365.4824631587</v>
      </c>
    </row>
    <row r="165" spans="3:4" ht="16">
      <c r="C165" s="1594">
        <v>153</v>
      </c>
      <c r="D165" s="1631">
        <v>2719365.4824631587</v>
      </c>
    </row>
    <row r="166" spans="3:4" ht="16">
      <c r="C166" s="1594">
        <v>154</v>
      </c>
      <c r="D166" s="1631">
        <v>2719365.4824631587</v>
      </c>
    </row>
    <row r="167" spans="3:4" ht="16">
      <c r="C167" s="1594">
        <v>155</v>
      </c>
      <c r="D167" s="1631">
        <v>2719365.4824631587</v>
      </c>
    </row>
    <row r="168" spans="3:4" ht="16">
      <c r="C168" s="1594">
        <v>156</v>
      </c>
      <c r="D168" s="1631">
        <v>2719365.4824631587</v>
      </c>
    </row>
    <row r="169" spans="3:4" ht="16">
      <c r="C169" s="1594">
        <v>157</v>
      </c>
      <c r="D169" s="1631">
        <v>2719365.4824631587</v>
      </c>
    </row>
    <row r="170" spans="3:4" ht="16">
      <c r="C170" s="1594">
        <v>158</v>
      </c>
      <c r="D170" s="1631">
        <v>2719365.4824631587</v>
      </c>
    </row>
    <row r="171" spans="3:4" ht="16">
      <c r="C171" s="1594">
        <v>159</v>
      </c>
      <c r="D171" s="1631">
        <v>2719365.4824631587</v>
      </c>
    </row>
    <row r="172" spans="3:4" ht="16">
      <c r="C172" s="1594">
        <v>160</v>
      </c>
      <c r="D172" s="1631">
        <v>2719365.4824631587</v>
      </c>
    </row>
    <row r="173" spans="3:4" ht="16">
      <c r="C173" s="1594">
        <v>161</v>
      </c>
      <c r="D173" s="1631">
        <v>2719365.4824631587</v>
      </c>
    </row>
    <row r="174" spans="3:4" ht="16">
      <c r="C174" s="1594">
        <v>162</v>
      </c>
      <c r="D174" s="1631">
        <v>2719365.4824631587</v>
      </c>
    </row>
    <row r="175" spans="3:4" ht="16">
      <c r="C175" s="1594">
        <v>163</v>
      </c>
      <c r="D175" s="1631">
        <v>2719365.4824631587</v>
      </c>
    </row>
    <row r="176" spans="3:4" ht="16">
      <c r="C176" s="1594">
        <v>164</v>
      </c>
      <c r="D176" s="1631">
        <v>2719365.4824631587</v>
      </c>
    </row>
    <row r="177" spans="3:4" ht="16">
      <c r="C177" s="1594">
        <v>165</v>
      </c>
      <c r="D177" s="1631">
        <v>2719365.4824631587</v>
      </c>
    </row>
    <row r="178" spans="3:4" ht="16">
      <c r="C178" s="1594">
        <v>166</v>
      </c>
      <c r="D178" s="1631">
        <v>2719365.4824631587</v>
      </c>
    </row>
    <row r="179" spans="3:4" ht="16">
      <c r="C179" s="1594">
        <v>167</v>
      </c>
      <c r="D179" s="1631">
        <v>2719365.4824631587</v>
      </c>
    </row>
    <row r="180" spans="3:4" ht="16">
      <c r="C180" s="1594">
        <v>168</v>
      </c>
      <c r="D180" s="1631">
        <v>2719365.4824631587</v>
      </c>
    </row>
    <row r="181" spans="3:4" ht="16">
      <c r="C181" s="1594">
        <v>169</v>
      </c>
      <c r="D181" s="1631">
        <v>2719365.4824631587</v>
      </c>
    </row>
    <row r="182" spans="3:4" ht="16">
      <c r="C182" s="1594">
        <v>170</v>
      </c>
      <c r="D182" s="1631">
        <v>2719365.4824631587</v>
      </c>
    </row>
    <row r="183" spans="3:4" ht="16">
      <c r="C183" s="1594">
        <v>171</v>
      </c>
      <c r="D183" s="1631">
        <v>2719365.4824631587</v>
      </c>
    </row>
    <row r="184" spans="3:4" ht="16">
      <c r="C184" s="1594">
        <v>172</v>
      </c>
      <c r="D184" s="1631">
        <v>2719365.4824631587</v>
      </c>
    </row>
    <row r="185" spans="3:4" ht="16">
      <c r="C185" s="1594">
        <v>173</v>
      </c>
      <c r="D185" s="1631">
        <v>2719365.4824631587</v>
      </c>
    </row>
    <row r="186" spans="3:4" ht="16">
      <c r="C186" s="1594">
        <v>174</v>
      </c>
      <c r="D186" s="1631">
        <v>2719365.4824631587</v>
      </c>
    </row>
    <row r="187" spans="3:4" ht="16">
      <c r="C187" s="1594">
        <v>175</v>
      </c>
      <c r="D187" s="1631">
        <v>2719365.4824631587</v>
      </c>
    </row>
    <row r="188" spans="3:4" ht="16">
      <c r="C188" s="1594">
        <v>176</v>
      </c>
      <c r="D188" s="1631">
        <v>2719365.4824631587</v>
      </c>
    </row>
    <row r="189" spans="3:4" ht="16">
      <c r="C189" s="1594">
        <v>177</v>
      </c>
      <c r="D189" s="1631">
        <v>2719365.4824631587</v>
      </c>
    </row>
    <row r="190" spans="3:4" ht="16">
      <c r="C190" s="1594">
        <v>178</v>
      </c>
      <c r="D190" s="1631">
        <v>2719365.4824631587</v>
      </c>
    </row>
    <row r="191" spans="3:4" ht="16">
      <c r="C191" s="1594">
        <v>179</v>
      </c>
      <c r="D191" s="1631">
        <v>2719365.4824631587</v>
      </c>
    </row>
    <row r="192" spans="3:4" ht="16">
      <c r="C192" s="1594">
        <v>180</v>
      </c>
      <c r="D192" s="1631">
        <v>2719365.4824631587</v>
      </c>
    </row>
    <row r="193" spans="3:4" ht="16">
      <c r="C193" s="1594">
        <v>181</v>
      </c>
      <c r="D193" s="1631">
        <v>2719365.4824631587</v>
      </c>
    </row>
    <row r="194" spans="3:4" ht="16">
      <c r="C194" s="1594">
        <v>182</v>
      </c>
      <c r="D194" s="1631">
        <v>2719365.4824631587</v>
      </c>
    </row>
    <row r="195" spans="3:4" ht="16">
      <c r="C195" s="1594">
        <v>183</v>
      </c>
      <c r="D195" s="1631">
        <v>2719365.4824631587</v>
      </c>
    </row>
    <row r="196" spans="3:4" ht="16">
      <c r="C196" s="1594">
        <v>184</v>
      </c>
      <c r="D196" s="1631">
        <v>2719365.4824631587</v>
      </c>
    </row>
    <row r="197" spans="3:4" ht="16">
      <c r="C197" s="1594">
        <v>185</v>
      </c>
      <c r="D197" s="1631">
        <v>2719365.4824631587</v>
      </c>
    </row>
    <row r="198" spans="3:4" ht="16">
      <c r="C198" s="1594">
        <v>186</v>
      </c>
      <c r="D198" s="1631">
        <v>2719365.4824631587</v>
      </c>
    </row>
    <row r="199" spans="3:4" ht="16">
      <c r="C199" s="1594">
        <v>187</v>
      </c>
      <c r="D199" s="1631">
        <v>2719365.4824631587</v>
      </c>
    </row>
    <row r="200" spans="3:4" ht="16">
      <c r="C200" s="1594">
        <v>188</v>
      </c>
      <c r="D200" s="1631">
        <v>2719365.4824631587</v>
      </c>
    </row>
    <row r="201" spans="3:4" ht="16">
      <c r="C201" s="1594">
        <v>189</v>
      </c>
      <c r="D201" s="1631">
        <v>2719365.4824631587</v>
      </c>
    </row>
    <row r="202" spans="3:4" ht="16">
      <c r="C202" s="1594">
        <v>190</v>
      </c>
      <c r="D202" s="1631">
        <v>2719365.4824631587</v>
      </c>
    </row>
    <row r="203" spans="3:4" ht="16">
      <c r="C203" s="1594">
        <v>191</v>
      </c>
      <c r="D203" s="1631">
        <v>2719365.4824631587</v>
      </c>
    </row>
    <row r="204" spans="3:4" ht="16">
      <c r="C204" s="1594">
        <v>192</v>
      </c>
      <c r="D204" s="1631">
        <v>2719365.4824631587</v>
      </c>
    </row>
    <row r="205" spans="3:4" ht="16">
      <c r="C205" s="1594">
        <v>193</v>
      </c>
      <c r="D205" s="1631">
        <v>2719365.4824631587</v>
      </c>
    </row>
    <row r="206" spans="3:4" ht="16">
      <c r="C206" s="1594">
        <v>194</v>
      </c>
      <c r="D206" s="1631">
        <v>2719365.4824631587</v>
      </c>
    </row>
    <row r="207" spans="3:4" ht="16">
      <c r="C207" s="1594">
        <v>195</v>
      </c>
      <c r="D207" s="1631">
        <v>2719365.4824631587</v>
      </c>
    </row>
    <row r="208" spans="3:4" ht="16">
      <c r="C208" s="1594">
        <v>196</v>
      </c>
      <c r="D208" s="1631">
        <v>2719365.4824631587</v>
      </c>
    </row>
    <row r="209" spans="3:4" ht="16">
      <c r="C209" s="1594">
        <v>197</v>
      </c>
      <c r="D209" s="1631">
        <v>2719365.4824631587</v>
      </c>
    </row>
    <row r="210" spans="3:4" ht="16">
      <c r="C210" s="1594">
        <v>198</v>
      </c>
      <c r="D210" s="1631">
        <v>2719365.4824631587</v>
      </c>
    </row>
    <row r="211" spans="3:4" ht="16">
      <c r="C211" s="1594">
        <v>199</v>
      </c>
      <c r="D211" s="1631">
        <v>2719365.4824631587</v>
      </c>
    </row>
    <row r="212" spans="3:4" ht="16">
      <c r="C212" s="1594">
        <v>200</v>
      </c>
      <c r="D212" s="1631">
        <v>2719365.4824631587</v>
      </c>
    </row>
    <row r="213" spans="3:4" ht="16">
      <c r="C213" s="1594">
        <v>201</v>
      </c>
      <c r="D213" s="1631">
        <v>2719365.4824631587</v>
      </c>
    </row>
    <row r="214" spans="3:4" ht="16">
      <c r="C214" s="1594">
        <v>202</v>
      </c>
      <c r="D214" s="1631">
        <v>2719365.4824631587</v>
      </c>
    </row>
    <row r="215" spans="3:4" ht="16">
      <c r="C215" s="1594">
        <v>203</v>
      </c>
      <c r="D215" s="1631">
        <v>2719365.4824631587</v>
      </c>
    </row>
    <row r="216" spans="3:4" ht="16">
      <c r="C216" s="1594">
        <v>204</v>
      </c>
      <c r="D216" s="1631">
        <v>2719365.4824631587</v>
      </c>
    </row>
    <row r="217" spans="3:4" ht="16">
      <c r="C217" s="1594">
        <v>205</v>
      </c>
      <c r="D217" s="1631">
        <v>2719365.4824631587</v>
      </c>
    </row>
    <row r="218" spans="3:4" ht="16">
      <c r="C218" s="1594">
        <v>206</v>
      </c>
      <c r="D218" s="1631">
        <v>2719365.4824631587</v>
      </c>
    </row>
    <row r="219" spans="3:4" ht="16">
      <c r="C219" s="1594">
        <v>207</v>
      </c>
      <c r="D219" s="1631">
        <v>2719365.4824631587</v>
      </c>
    </row>
    <row r="220" spans="3:4" ht="16">
      <c r="C220" s="1594">
        <v>208</v>
      </c>
      <c r="D220" s="1631">
        <v>2719365.4824631587</v>
      </c>
    </row>
    <row r="221" spans="3:4" ht="16">
      <c r="C221" s="1594">
        <v>209</v>
      </c>
      <c r="D221" s="1631">
        <v>2719365.4824631587</v>
      </c>
    </row>
    <row r="222" spans="3:4" ht="16">
      <c r="C222" s="1594">
        <v>210</v>
      </c>
      <c r="D222" s="1631">
        <v>2719365.4824631587</v>
      </c>
    </row>
    <row r="223" spans="3:4" ht="16">
      <c r="C223" s="1594">
        <v>211</v>
      </c>
      <c r="D223" s="1631">
        <v>2719365.4824631587</v>
      </c>
    </row>
    <row r="224" spans="3:4" ht="16">
      <c r="C224" s="1594">
        <v>212</v>
      </c>
      <c r="D224" s="1631">
        <v>2719365.4824631587</v>
      </c>
    </row>
    <row r="225" spans="3:4" ht="16">
      <c r="C225" s="1594">
        <v>213</v>
      </c>
      <c r="D225" s="1631">
        <v>2719365.4824631587</v>
      </c>
    </row>
    <row r="226" spans="3:4" ht="16">
      <c r="C226" s="1594">
        <v>214</v>
      </c>
      <c r="D226" s="1631">
        <v>2719365.4824631587</v>
      </c>
    </row>
    <row r="227" spans="3:4" ht="16">
      <c r="C227" s="1594">
        <v>215</v>
      </c>
      <c r="D227" s="1631">
        <v>2719365.4824631587</v>
      </c>
    </row>
    <row r="228" spans="3:4" ht="16">
      <c r="C228" s="1594">
        <v>216</v>
      </c>
      <c r="D228" s="1631">
        <v>2719365.4824631587</v>
      </c>
    </row>
    <row r="229" spans="3:4" ht="16">
      <c r="C229" s="1594">
        <v>217</v>
      </c>
      <c r="D229" s="1631">
        <v>2719365.4824631587</v>
      </c>
    </row>
    <row r="230" spans="3:4" ht="16">
      <c r="C230" s="1594">
        <v>218</v>
      </c>
      <c r="D230" s="1631">
        <v>2719365.4824631587</v>
      </c>
    </row>
    <row r="231" spans="3:4" ht="16">
      <c r="C231" s="1594">
        <v>219</v>
      </c>
      <c r="D231" s="1631">
        <v>2719365.4824631587</v>
      </c>
    </row>
    <row r="232" spans="3:4" ht="16">
      <c r="C232" s="1594">
        <v>220</v>
      </c>
      <c r="D232" s="1631">
        <v>2719365.4824631587</v>
      </c>
    </row>
    <row r="233" spans="3:4" ht="16">
      <c r="C233" s="1594">
        <v>221</v>
      </c>
      <c r="D233" s="1631">
        <v>2719365.4824631587</v>
      </c>
    </row>
    <row r="234" spans="3:4" ht="16">
      <c r="C234" s="1594">
        <v>222</v>
      </c>
      <c r="D234" s="1631">
        <v>2719365.4824631587</v>
      </c>
    </row>
    <row r="235" spans="3:4" ht="16">
      <c r="C235" s="1594">
        <v>223</v>
      </c>
      <c r="D235" s="1631">
        <v>2719365.4824631587</v>
      </c>
    </row>
    <row r="236" spans="3:4" ht="16">
      <c r="C236" s="1594">
        <v>224</v>
      </c>
      <c r="D236" s="1631">
        <v>2719365.4824631587</v>
      </c>
    </row>
    <row r="237" spans="3:4" ht="16">
      <c r="C237" s="1594">
        <v>225</v>
      </c>
      <c r="D237" s="1631">
        <v>2719365.4824631587</v>
      </c>
    </row>
    <row r="238" spans="3:4" ht="16">
      <c r="C238" s="1594">
        <v>226</v>
      </c>
      <c r="D238" s="1631">
        <v>2719365.4824631587</v>
      </c>
    </row>
    <row r="239" spans="3:4" ht="16">
      <c r="C239" s="1594">
        <v>227</v>
      </c>
      <c r="D239" s="1631">
        <v>2719365.4824631587</v>
      </c>
    </row>
    <row r="240" spans="3:4" ht="16">
      <c r="C240" s="1594">
        <v>228</v>
      </c>
      <c r="D240" s="1631">
        <v>2719365.4824631587</v>
      </c>
    </row>
    <row r="241" spans="3:4" ht="16">
      <c r="C241" s="1594">
        <v>229</v>
      </c>
      <c r="D241" s="1631">
        <v>2719365.4824631587</v>
      </c>
    </row>
    <row r="242" spans="3:4" ht="16">
      <c r="C242" s="1594">
        <v>230</v>
      </c>
      <c r="D242" s="1631">
        <v>2719365.4824631587</v>
      </c>
    </row>
    <row r="243" spans="3:4" ht="16">
      <c r="C243" s="1594">
        <v>231</v>
      </c>
      <c r="D243" s="1631">
        <v>2719365.4824631587</v>
      </c>
    </row>
    <row r="244" spans="3:4" ht="16">
      <c r="C244" s="1594">
        <v>232</v>
      </c>
      <c r="D244" s="1631">
        <v>2719365.4824631587</v>
      </c>
    </row>
    <row r="245" spans="3:4" ht="16">
      <c r="C245" s="1594">
        <v>233</v>
      </c>
      <c r="D245" s="1631">
        <v>2719365.4824631587</v>
      </c>
    </row>
    <row r="246" spans="3:4" ht="16">
      <c r="C246" s="1594">
        <v>234</v>
      </c>
      <c r="D246" s="1631">
        <v>2719365.4824631587</v>
      </c>
    </row>
    <row r="247" spans="3:4" ht="16">
      <c r="C247" s="1594">
        <v>235</v>
      </c>
      <c r="D247" s="1631">
        <v>2719365.4824631587</v>
      </c>
    </row>
    <row r="248" spans="3:4" ht="16">
      <c r="C248" s="1594">
        <v>236</v>
      </c>
      <c r="D248" s="1631">
        <v>2719365.4824631587</v>
      </c>
    </row>
    <row r="249" spans="3:4" ht="16">
      <c r="C249" s="1594">
        <v>237</v>
      </c>
      <c r="D249" s="1631">
        <v>2719365.4824631587</v>
      </c>
    </row>
    <row r="250" spans="3:4" ht="16">
      <c r="C250" s="1594">
        <v>238</v>
      </c>
      <c r="D250" s="1631">
        <v>2719365.4824631587</v>
      </c>
    </row>
    <row r="251" spans="3:4" ht="16">
      <c r="C251" s="1594">
        <v>239</v>
      </c>
      <c r="D251" s="1631">
        <v>2719365.4824631587</v>
      </c>
    </row>
    <row r="252" spans="3:4" ht="16">
      <c r="C252" s="1594">
        <v>240</v>
      </c>
      <c r="D252" s="1631">
        <v>2719365.4824631587</v>
      </c>
    </row>
    <row r="253" spans="3:4" ht="16">
      <c r="C253" s="1594">
        <v>241</v>
      </c>
      <c r="D253" s="1631">
        <v>2719365.4824631587</v>
      </c>
    </row>
    <row r="254" spans="3:4" ht="16">
      <c r="C254" s="1594">
        <v>242</v>
      </c>
      <c r="D254" s="1631">
        <v>2719365.4824631587</v>
      </c>
    </row>
    <row r="255" spans="3:4" ht="16">
      <c r="C255" s="1594">
        <v>243</v>
      </c>
      <c r="D255" s="1631">
        <v>2719365.4824631587</v>
      </c>
    </row>
    <row r="256" spans="3:4" ht="16">
      <c r="C256" s="1594">
        <v>244</v>
      </c>
      <c r="D256" s="1631">
        <v>2719365.4824631587</v>
      </c>
    </row>
    <row r="257" spans="3:4" ht="16">
      <c r="C257" s="1594">
        <v>245</v>
      </c>
      <c r="D257" s="1631">
        <v>2719365.4824631587</v>
      </c>
    </row>
    <row r="258" spans="3:4" ht="16">
      <c r="C258" s="1594">
        <v>246</v>
      </c>
      <c r="D258" s="1631">
        <v>2719365.4824631587</v>
      </c>
    </row>
    <row r="259" spans="3:4" ht="16">
      <c r="C259" s="1594">
        <v>247</v>
      </c>
      <c r="D259" s="1631">
        <v>2719365.4824631587</v>
      </c>
    </row>
    <row r="260" spans="3:4" ht="16">
      <c r="C260" s="1594">
        <v>248</v>
      </c>
      <c r="D260" s="1631">
        <v>2719365.4824631587</v>
      </c>
    </row>
    <row r="261" spans="3:4" ht="16">
      <c r="C261" s="1594">
        <v>249</v>
      </c>
      <c r="D261" s="1631">
        <v>2719365.4824631587</v>
      </c>
    </row>
    <row r="262" spans="3:4" ht="16">
      <c r="C262" s="1594">
        <v>250</v>
      </c>
      <c r="D262" s="1631">
        <v>2719365.4824631587</v>
      </c>
    </row>
    <row r="263" spans="3:4" ht="16">
      <c r="C263" s="1594">
        <v>251</v>
      </c>
      <c r="D263" s="1631">
        <v>2719365.4824631587</v>
      </c>
    </row>
    <row r="264" spans="3:4" ht="16">
      <c r="C264" s="1594">
        <v>252</v>
      </c>
      <c r="D264" s="1631">
        <v>2719365.4824631587</v>
      </c>
    </row>
    <row r="265" spans="3:4" ht="16">
      <c r="C265" s="1594">
        <v>253</v>
      </c>
      <c r="D265" s="1631">
        <v>2719365.4824631587</v>
      </c>
    </row>
    <row r="266" spans="3:4" ht="16">
      <c r="C266" s="1594">
        <v>254</v>
      </c>
      <c r="D266" s="1631">
        <v>2719365.4824631587</v>
      </c>
    </row>
    <row r="267" spans="3:4" ht="16">
      <c r="C267" s="1594">
        <v>255</v>
      </c>
      <c r="D267" s="1631">
        <v>2719365.4824631587</v>
      </c>
    </row>
    <row r="268" spans="3:4" ht="16">
      <c r="C268" s="1594">
        <v>256</v>
      </c>
      <c r="D268" s="1631">
        <v>2719365.4824631587</v>
      </c>
    </row>
    <row r="269" spans="3:4" ht="16">
      <c r="C269" s="1594">
        <v>257</v>
      </c>
      <c r="D269" s="1631">
        <v>2719365.4824631587</v>
      </c>
    </row>
    <row r="270" spans="3:4" ht="16">
      <c r="C270" s="1594">
        <v>258</v>
      </c>
      <c r="D270" s="1631">
        <v>2719365.4824631587</v>
      </c>
    </row>
    <row r="271" spans="3:4" ht="16">
      <c r="C271" s="1594">
        <v>259</v>
      </c>
      <c r="D271" s="1631">
        <v>2719365.4824631587</v>
      </c>
    </row>
    <row r="272" spans="3:4" ht="16">
      <c r="C272" s="1594">
        <v>260</v>
      </c>
      <c r="D272" s="1631">
        <v>2719365.4824631587</v>
      </c>
    </row>
    <row r="273" spans="3:4" ht="16">
      <c r="C273" s="1594">
        <v>261</v>
      </c>
      <c r="D273" s="1631">
        <v>2719365.4824631587</v>
      </c>
    </row>
    <row r="274" spans="3:4" ht="16">
      <c r="C274" s="1594">
        <v>262</v>
      </c>
      <c r="D274" s="1631">
        <v>2719365.4824631587</v>
      </c>
    </row>
    <row r="275" spans="3:4" ht="16">
      <c r="C275" s="1594">
        <v>263</v>
      </c>
      <c r="D275" s="1631">
        <v>2719365.4824631587</v>
      </c>
    </row>
    <row r="276" spans="3:4" ht="16">
      <c r="C276" s="1594">
        <v>264</v>
      </c>
      <c r="D276" s="1631">
        <v>2719365.4824631587</v>
      </c>
    </row>
    <row r="277" spans="3:4" ht="16">
      <c r="C277" s="1594">
        <v>265</v>
      </c>
      <c r="D277" s="1631">
        <v>2719365.4824631587</v>
      </c>
    </row>
    <row r="278" spans="3:4" ht="16">
      <c r="C278" s="1594">
        <v>266</v>
      </c>
      <c r="D278" s="1631">
        <v>2719365.4824631587</v>
      </c>
    </row>
    <row r="279" spans="3:4" ht="16">
      <c r="C279" s="1594">
        <v>267</v>
      </c>
      <c r="D279" s="1631">
        <v>2719365.4824631587</v>
      </c>
    </row>
    <row r="280" spans="3:4" ht="16">
      <c r="C280" s="1594">
        <v>268</v>
      </c>
      <c r="D280" s="1631">
        <v>2719365.4824631587</v>
      </c>
    </row>
    <row r="281" spans="3:4" ht="16">
      <c r="C281" s="1594">
        <v>269</v>
      </c>
      <c r="D281" s="1631">
        <v>2719365.4824631587</v>
      </c>
    </row>
    <row r="282" spans="3:4" ht="16">
      <c r="C282" s="1594">
        <v>270</v>
      </c>
      <c r="D282" s="1631">
        <v>2719365.4824631587</v>
      </c>
    </row>
    <row r="283" spans="3:4" ht="16">
      <c r="C283" s="1594">
        <v>271</v>
      </c>
      <c r="D283" s="1631">
        <v>2719365.4824631587</v>
      </c>
    </row>
    <row r="284" spans="3:4" ht="16">
      <c r="C284" s="1594">
        <v>272</v>
      </c>
      <c r="D284" s="1631">
        <v>2719365.4824631587</v>
      </c>
    </row>
    <row r="285" spans="3:4" ht="16">
      <c r="C285" s="1594">
        <v>273</v>
      </c>
      <c r="D285" s="1631">
        <v>2719365.4824631587</v>
      </c>
    </row>
    <row r="286" spans="3:4" ht="16">
      <c r="C286" s="1594">
        <v>274</v>
      </c>
      <c r="D286" s="1631">
        <v>2719365.4824631587</v>
      </c>
    </row>
    <row r="287" spans="3:4" ht="16">
      <c r="C287" s="1594">
        <v>275</v>
      </c>
      <c r="D287" s="1631">
        <v>2719365.4824631587</v>
      </c>
    </row>
    <row r="288" spans="3:4" ht="16">
      <c r="C288" s="1594">
        <v>276</v>
      </c>
      <c r="D288" s="1631">
        <v>2719365.4824631587</v>
      </c>
    </row>
    <row r="289" spans="3:4" ht="16">
      <c r="C289" s="1594">
        <v>277</v>
      </c>
      <c r="D289" s="1631">
        <v>2719365.4824631587</v>
      </c>
    </row>
    <row r="290" spans="3:4" ht="16">
      <c r="C290" s="1594">
        <v>278</v>
      </c>
      <c r="D290" s="1631">
        <v>2719365.4824631587</v>
      </c>
    </row>
    <row r="291" spans="3:4" ht="16">
      <c r="C291" s="1594">
        <v>279</v>
      </c>
      <c r="D291" s="1631">
        <v>2719365.4824631587</v>
      </c>
    </row>
    <row r="292" spans="3:4" ht="16">
      <c r="C292" s="1594">
        <v>280</v>
      </c>
      <c r="D292" s="1631">
        <v>2719365.4824631587</v>
      </c>
    </row>
    <row r="293" spans="3:4" ht="16">
      <c r="C293" s="1594">
        <v>281</v>
      </c>
      <c r="D293" s="1631">
        <v>2719365.4824631587</v>
      </c>
    </row>
    <row r="294" spans="3:4" ht="16">
      <c r="C294" s="1594">
        <v>282</v>
      </c>
      <c r="D294" s="1631">
        <v>2719365.4824631587</v>
      </c>
    </row>
    <row r="295" spans="3:4" ht="16">
      <c r="C295" s="1594">
        <v>283</v>
      </c>
      <c r="D295" s="1631">
        <v>2719365.4824631587</v>
      </c>
    </row>
    <row r="296" spans="3:4" ht="16">
      <c r="C296" s="1594">
        <v>284</v>
      </c>
      <c r="D296" s="1631">
        <v>2719365.4824631587</v>
      </c>
    </row>
    <row r="297" spans="3:4" ht="16">
      <c r="C297" s="1594">
        <v>285</v>
      </c>
      <c r="D297" s="1631">
        <v>2719365.4824631587</v>
      </c>
    </row>
    <row r="298" spans="3:4" ht="16">
      <c r="C298" s="1594">
        <v>286</v>
      </c>
      <c r="D298" s="1631">
        <v>2719365.4824631587</v>
      </c>
    </row>
    <row r="299" spans="3:4" ht="16">
      <c r="C299" s="1594">
        <v>287</v>
      </c>
      <c r="D299" s="1631">
        <v>2719365.4824631587</v>
      </c>
    </row>
    <row r="300" spans="3:4" ht="16">
      <c r="C300" s="1594">
        <v>288</v>
      </c>
      <c r="D300" s="1631">
        <v>2719365.4824631587</v>
      </c>
    </row>
    <row r="301" spans="3:4" ht="16">
      <c r="C301" s="1594">
        <v>289</v>
      </c>
      <c r="D301" s="1631">
        <v>2719365.4824631587</v>
      </c>
    </row>
    <row r="302" spans="3:4" ht="16">
      <c r="C302" s="1594">
        <v>290</v>
      </c>
      <c r="D302" s="1631">
        <v>2719365.4824631587</v>
      </c>
    </row>
    <row r="303" spans="3:4" ht="16">
      <c r="C303" s="1594">
        <v>291</v>
      </c>
      <c r="D303" s="1631">
        <v>2719365.4824631587</v>
      </c>
    </row>
    <row r="304" spans="3:4" ht="16">
      <c r="C304" s="1594">
        <v>292</v>
      </c>
      <c r="D304" s="1631">
        <v>2719365.4824631587</v>
      </c>
    </row>
    <row r="305" spans="3:4" ht="16">
      <c r="C305" s="1594">
        <v>293</v>
      </c>
      <c r="D305" s="1631">
        <v>2719365.4824631587</v>
      </c>
    </row>
    <row r="306" spans="3:4" ht="16">
      <c r="C306" s="1594">
        <v>294</v>
      </c>
      <c r="D306" s="1631">
        <v>2719365.4824631587</v>
      </c>
    </row>
    <row r="307" spans="3:4" ht="16">
      <c r="C307" s="1594">
        <v>295</v>
      </c>
      <c r="D307" s="1631">
        <v>2719365.4824631587</v>
      </c>
    </row>
    <row r="308" spans="3:4" ht="16">
      <c r="C308" s="1594">
        <v>296</v>
      </c>
      <c r="D308" s="1631">
        <v>2719365.4824631587</v>
      </c>
    </row>
    <row r="309" spans="3:4" ht="16">
      <c r="C309" s="1594">
        <v>297</v>
      </c>
      <c r="D309" s="1631">
        <v>2719365.4824631587</v>
      </c>
    </row>
    <row r="310" spans="3:4" ht="16">
      <c r="C310" s="1594">
        <v>298</v>
      </c>
      <c r="D310" s="1631">
        <v>2719365.4824631587</v>
      </c>
    </row>
    <row r="311" spans="3:4" ht="16">
      <c r="C311" s="1594">
        <v>299</v>
      </c>
      <c r="D311" s="1631">
        <v>2719365.4824631587</v>
      </c>
    </row>
    <row r="312" spans="3:4" ht="16">
      <c r="C312" s="1594">
        <v>300</v>
      </c>
      <c r="D312" s="1631">
        <v>2719365.4824631587</v>
      </c>
    </row>
    <row r="313" spans="3:4" ht="16">
      <c r="C313" s="1594">
        <v>301</v>
      </c>
      <c r="D313" s="1631">
        <v>2719365.4824631587</v>
      </c>
    </row>
    <row r="314" spans="3:4" ht="16">
      <c r="C314" s="1594">
        <v>302</v>
      </c>
      <c r="D314" s="1631">
        <v>2719365.4824631587</v>
      </c>
    </row>
    <row r="315" spans="3:4" ht="16">
      <c r="C315" s="1594">
        <v>303</v>
      </c>
      <c r="D315" s="1631">
        <v>2719365.4824631587</v>
      </c>
    </row>
    <row r="316" spans="3:4" ht="16">
      <c r="C316" s="1594">
        <v>304</v>
      </c>
      <c r="D316" s="1631">
        <v>2719365.4824631587</v>
      </c>
    </row>
    <row r="317" spans="3:4" ht="16">
      <c r="C317" s="1594">
        <v>305</v>
      </c>
      <c r="D317" s="1631">
        <v>2719365.4824631587</v>
      </c>
    </row>
    <row r="318" spans="3:4" ht="16">
      <c r="C318" s="1594">
        <v>306</v>
      </c>
      <c r="D318" s="1631">
        <v>2719365.4824631587</v>
      </c>
    </row>
    <row r="319" spans="3:4" ht="16">
      <c r="C319" s="1594">
        <v>307</v>
      </c>
      <c r="D319" s="1631">
        <v>2719365.4824631587</v>
      </c>
    </row>
    <row r="320" spans="3:4" ht="16">
      <c r="C320" s="1594">
        <v>308</v>
      </c>
      <c r="D320" s="1631">
        <v>2719365.4824631587</v>
      </c>
    </row>
    <row r="321" spans="3:4" ht="16">
      <c r="C321" s="1594">
        <v>309</v>
      </c>
      <c r="D321" s="1631">
        <v>2719365.4824631587</v>
      </c>
    </row>
    <row r="322" spans="3:4" ht="16">
      <c r="C322" s="1594">
        <v>310</v>
      </c>
      <c r="D322" s="1631">
        <v>2719365.4824631587</v>
      </c>
    </row>
    <row r="323" spans="3:4" ht="16">
      <c r="C323" s="1594">
        <v>311</v>
      </c>
      <c r="D323" s="1631">
        <v>2719365.4824631587</v>
      </c>
    </row>
    <row r="324" spans="3:4" ht="16">
      <c r="C324" s="1594">
        <v>312</v>
      </c>
      <c r="D324" s="1631">
        <v>2719365.4824631587</v>
      </c>
    </row>
    <row r="325" spans="3:4" ht="16">
      <c r="C325" s="1594">
        <v>313</v>
      </c>
      <c r="D325" s="1631">
        <v>2719365.4824631587</v>
      </c>
    </row>
    <row r="326" spans="3:4" ht="16">
      <c r="C326" s="1594">
        <v>314</v>
      </c>
      <c r="D326" s="1631">
        <v>2719365.4824631587</v>
      </c>
    </row>
    <row r="327" spans="3:4" ht="16">
      <c r="C327" s="1594">
        <v>315</v>
      </c>
      <c r="D327" s="1631">
        <v>2719365.4824631587</v>
      </c>
    </row>
    <row r="328" spans="3:4" ht="16">
      <c r="C328" s="1594">
        <v>316</v>
      </c>
      <c r="D328" s="1631">
        <v>2719365.4824631587</v>
      </c>
    </row>
    <row r="329" spans="3:4" ht="16">
      <c r="C329" s="1594">
        <v>317</v>
      </c>
      <c r="D329" s="1631">
        <v>2719365.4824631587</v>
      </c>
    </row>
    <row r="330" spans="3:4" ht="16">
      <c r="C330" s="1594">
        <v>318</v>
      </c>
      <c r="D330" s="1631">
        <v>2719365.4824631587</v>
      </c>
    </row>
    <row r="331" spans="3:4" ht="16">
      <c r="C331" s="1594">
        <v>319</v>
      </c>
      <c r="D331" s="1631">
        <v>2719365.4824631587</v>
      </c>
    </row>
    <row r="332" spans="3:4" ht="16">
      <c r="C332" s="1594">
        <v>320</v>
      </c>
      <c r="D332" s="1631">
        <v>2719365.4824631587</v>
      </c>
    </row>
    <row r="333" spans="3:4" ht="16">
      <c r="C333" s="1594">
        <v>321</v>
      </c>
      <c r="D333" s="1631">
        <v>2719365.4824631587</v>
      </c>
    </row>
    <row r="334" spans="3:4" ht="16">
      <c r="C334" s="1594">
        <v>322</v>
      </c>
      <c r="D334" s="1631">
        <v>2719365.4824631587</v>
      </c>
    </row>
    <row r="335" spans="3:4" ht="16">
      <c r="C335" s="1594">
        <v>323</v>
      </c>
      <c r="D335" s="1631">
        <v>2719365.4824631587</v>
      </c>
    </row>
    <row r="336" spans="3:4" ht="16">
      <c r="C336" s="1594">
        <v>324</v>
      </c>
      <c r="D336" s="1631">
        <v>2719365.4824631587</v>
      </c>
    </row>
    <row r="337" spans="3:4" ht="16">
      <c r="C337" s="1594">
        <v>325</v>
      </c>
      <c r="D337" s="1631">
        <v>2719365.4824631587</v>
      </c>
    </row>
    <row r="338" spans="3:4" ht="16">
      <c r="C338" s="1594">
        <v>326</v>
      </c>
      <c r="D338" s="1631">
        <v>2719365.4824631587</v>
      </c>
    </row>
    <row r="339" spans="3:4" ht="16">
      <c r="C339" s="1594">
        <v>327</v>
      </c>
      <c r="D339" s="1631">
        <v>2719365.4824631587</v>
      </c>
    </row>
    <row r="340" spans="3:4" ht="16">
      <c r="C340" s="1594">
        <v>328</v>
      </c>
      <c r="D340" s="1631">
        <v>2719365.4824631587</v>
      </c>
    </row>
    <row r="341" spans="3:4" ht="16">
      <c r="C341" s="1594">
        <v>329</v>
      </c>
      <c r="D341" s="1631">
        <v>2719365.4824631587</v>
      </c>
    </row>
    <row r="342" spans="3:4" ht="16">
      <c r="C342" s="1594">
        <v>330</v>
      </c>
      <c r="D342" s="1631">
        <v>2719365.4824631587</v>
      </c>
    </row>
    <row r="343" spans="3:4" ht="16">
      <c r="C343" s="1594">
        <v>331</v>
      </c>
      <c r="D343" s="1631">
        <v>2719365.4824631587</v>
      </c>
    </row>
    <row r="344" spans="3:4" ht="16">
      <c r="C344" s="1594">
        <v>332</v>
      </c>
      <c r="D344" s="1631">
        <v>2719365.4824631587</v>
      </c>
    </row>
    <row r="345" spans="3:4" ht="16">
      <c r="C345" s="1594">
        <v>333</v>
      </c>
      <c r="D345" s="1631">
        <v>2719365.4824631587</v>
      </c>
    </row>
    <row r="346" spans="3:4" ht="16">
      <c r="C346" s="1594">
        <v>334</v>
      </c>
      <c r="D346" s="1631">
        <v>2719365.4824631587</v>
      </c>
    </row>
    <row r="347" spans="3:4" ht="16">
      <c r="C347" s="1594">
        <v>335</v>
      </c>
      <c r="D347" s="1631">
        <v>2719365.4824631587</v>
      </c>
    </row>
    <row r="348" spans="3:4" ht="16">
      <c r="C348" s="1594">
        <v>336</v>
      </c>
      <c r="D348" s="1631">
        <v>2719365.4824631587</v>
      </c>
    </row>
    <row r="349" spans="3:4" ht="16">
      <c r="C349" s="1594">
        <v>337</v>
      </c>
      <c r="D349" s="1631">
        <v>2719365.4824631587</v>
      </c>
    </row>
    <row r="350" spans="3:4" ht="16">
      <c r="C350" s="1594">
        <v>338</v>
      </c>
      <c r="D350" s="1631">
        <v>2719365.4824631587</v>
      </c>
    </row>
    <row r="351" spans="3:4" ht="16">
      <c r="C351" s="1594">
        <v>339</v>
      </c>
      <c r="D351" s="1631">
        <v>2719365.4824631587</v>
      </c>
    </row>
    <row r="352" spans="3:4" ht="16">
      <c r="C352" s="1594">
        <v>340</v>
      </c>
      <c r="D352" s="1631">
        <v>2719365.4824631587</v>
      </c>
    </row>
    <row r="353" spans="3:4" ht="16">
      <c r="C353" s="1594">
        <v>341</v>
      </c>
      <c r="D353" s="1631">
        <v>2719365.4824631587</v>
      </c>
    </row>
    <row r="354" spans="3:4" ht="16">
      <c r="C354" s="1594">
        <v>342</v>
      </c>
      <c r="D354" s="1631">
        <v>2719365.4824631587</v>
      </c>
    </row>
    <row r="355" spans="3:4" ht="16">
      <c r="C355" s="1594">
        <v>343</v>
      </c>
      <c r="D355" s="1631">
        <v>2719365.4824631587</v>
      </c>
    </row>
    <row r="356" spans="3:4" ht="16">
      <c r="C356" s="1594">
        <v>344</v>
      </c>
      <c r="D356" s="1631">
        <v>2719365.4824631587</v>
      </c>
    </row>
    <row r="357" spans="3:4" ht="16">
      <c r="C357" s="1594">
        <v>345</v>
      </c>
      <c r="D357" s="1631">
        <v>2719365.4824631587</v>
      </c>
    </row>
    <row r="358" spans="3:4" ht="16">
      <c r="C358" s="1594">
        <v>346</v>
      </c>
      <c r="D358" s="1631">
        <v>2719365.4824631587</v>
      </c>
    </row>
    <row r="359" spans="3:4" ht="16">
      <c r="C359" s="1594">
        <v>347</v>
      </c>
      <c r="D359" s="1631">
        <v>2719365.4824631587</v>
      </c>
    </row>
    <row r="360" spans="3:4" ht="16">
      <c r="C360" s="1594">
        <v>348</v>
      </c>
      <c r="D360" s="1631">
        <v>2719365.4824631587</v>
      </c>
    </row>
    <row r="361" spans="3:4" ht="16">
      <c r="C361" s="1594">
        <v>349</v>
      </c>
      <c r="D361" s="1631">
        <v>2719365.4824631587</v>
      </c>
    </row>
    <row r="362" spans="3:4" ht="16">
      <c r="C362" s="1594">
        <v>350</v>
      </c>
      <c r="D362" s="1631">
        <v>2719365.4824631587</v>
      </c>
    </row>
    <row r="363" spans="3:4" ht="16">
      <c r="C363" s="1594">
        <v>351</v>
      </c>
      <c r="D363" s="1631">
        <v>2719365.4824631587</v>
      </c>
    </row>
    <row r="364" spans="3:4" ht="16">
      <c r="C364" s="1594">
        <v>352</v>
      </c>
      <c r="D364" s="1631">
        <v>2719365.4824631587</v>
      </c>
    </row>
    <row r="365" spans="3:4" ht="16">
      <c r="C365" s="1594">
        <v>353</v>
      </c>
      <c r="D365" s="1631">
        <v>2719365.4824631587</v>
      </c>
    </row>
    <row r="366" spans="3:4" ht="16">
      <c r="C366" s="1594">
        <v>354</v>
      </c>
      <c r="D366" s="1631">
        <v>2719365.4824631587</v>
      </c>
    </row>
    <row r="367" spans="3:4" ht="16">
      <c r="C367" s="1594">
        <v>355</v>
      </c>
      <c r="D367" s="1631">
        <v>2719365.4824631587</v>
      </c>
    </row>
    <row r="368" spans="3:4" ht="16">
      <c r="C368" s="1594">
        <v>356</v>
      </c>
      <c r="D368" s="1631">
        <v>2719365.4824631587</v>
      </c>
    </row>
    <row r="369" spans="3:4" ht="16">
      <c r="C369" s="1594">
        <v>357</v>
      </c>
      <c r="D369" s="1631">
        <v>2719365.4824631587</v>
      </c>
    </row>
    <row r="370" spans="3:4" ht="16">
      <c r="C370" s="1594">
        <v>358</v>
      </c>
      <c r="D370" s="1631">
        <v>2719365.4824631587</v>
      </c>
    </row>
    <row r="371" spans="3:4" ht="16">
      <c r="C371" s="1594">
        <v>359</v>
      </c>
      <c r="D371" s="1631">
        <v>2719365.4824631587</v>
      </c>
    </row>
    <row r="372" spans="3:4" ht="16">
      <c r="C372" s="1594">
        <v>360</v>
      </c>
      <c r="D372" s="1631">
        <v>2719365.4824631587</v>
      </c>
    </row>
    <row r="373" spans="3:4" ht="16">
      <c r="C373" s="1594">
        <v>361</v>
      </c>
      <c r="D373" s="1631">
        <v>2719365.4824631587</v>
      </c>
    </row>
    <row r="374" spans="3:4" ht="16">
      <c r="C374" s="1594">
        <v>362</v>
      </c>
      <c r="D374" s="1631">
        <v>2719365.4824631587</v>
      </c>
    </row>
    <row r="375" spans="3:4" ht="16">
      <c r="C375" s="1594">
        <v>363</v>
      </c>
      <c r="D375" s="1631">
        <v>2719365.4824631587</v>
      </c>
    </row>
    <row r="376" spans="3:4" ht="16">
      <c r="C376" s="1594">
        <v>364</v>
      </c>
      <c r="D376" s="1631">
        <v>2719365.4824631587</v>
      </c>
    </row>
    <row r="377" spans="3:4" ht="16">
      <c r="C377" s="1594">
        <v>365</v>
      </c>
      <c r="D377" s="1631">
        <v>2719365.4824631587</v>
      </c>
    </row>
    <row r="378" spans="3:4" ht="16">
      <c r="C378" s="1594">
        <v>366</v>
      </c>
      <c r="D378" s="1631">
        <v>2719365.4824631587</v>
      </c>
    </row>
    <row r="379" spans="3:4" ht="16">
      <c r="C379" s="1594">
        <v>367</v>
      </c>
      <c r="D379" s="1631">
        <v>2719365.4824631587</v>
      </c>
    </row>
    <row r="380" spans="3:4" ht="16">
      <c r="C380" s="1594">
        <v>368</v>
      </c>
      <c r="D380" s="1631">
        <v>2719365.4824631587</v>
      </c>
    </row>
    <row r="381" spans="3:4" ht="16">
      <c r="C381" s="1594">
        <v>369</v>
      </c>
      <c r="D381" s="1631">
        <v>2719365.4824631587</v>
      </c>
    </row>
    <row r="382" spans="3:4" ht="16">
      <c r="C382" s="1594">
        <v>370</v>
      </c>
      <c r="D382" s="1631">
        <v>2719365.4824631587</v>
      </c>
    </row>
    <row r="383" spans="3:4" ht="16">
      <c r="C383" s="1594">
        <v>371</v>
      </c>
      <c r="D383" s="1631">
        <v>2719365.4824631587</v>
      </c>
    </row>
    <row r="384" spans="3:4" ht="16">
      <c r="C384" s="1594">
        <v>372</v>
      </c>
      <c r="D384" s="1631">
        <v>2719365.4824631587</v>
      </c>
    </row>
    <row r="385" spans="3:4" ht="16">
      <c r="C385" s="1594">
        <v>373</v>
      </c>
      <c r="D385" s="1631">
        <v>2719365.4824631587</v>
      </c>
    </row>
    <row r="386" spans="3:4" ht="16">
      <c r="C386" s="1594">
        <v>374</v>
      </c>
      <c r="D386" s="1631">
        <v>2719365.4824631587</v>
      </c>
    </row>
    <row r="387" spans="3:4" ht="16">
      <c r="C387" s="1594">
        <v>375</v>
      </c>
      <c r="D387" s="1631">
        <v>2719365.4824631587</v>
      </c>
    </row>
    <row r="388" spans="3:4" ht="16">
      <c r="C388" s="1594">
        <v>376</v>
      </c>
      <c r="D388" s="1631">
        <v>2719365.4824631587</v>
      </c>
    </row>
    <row r="389" spans="3:4" ht="16">
      <c r="C389" s="1594">
        <v>377</v>
      </c>
      <c r="D389" s="1631">
        <v>2719365.4824631587</v>
      </c>
    </row>
    <row r="390" spans="3:4" ht="16">
      <c r="C390" s="1594">
        <v>378</v>
      </c>
      <c r="D390" s="1631">
        <v>2719365.4824631587</v>
      </c>
    </row>
    <row r="391" spans="3:4" ht="16">
      <c r="C391" s="1594">
        <v>379</v>
      </c>
      <c r="D391" s="1631">
        <v>2719365.4824631587</v>
      </c>
    </row>
    <row r="392" spans="3:4" ht="16">
      <c r="C392" s="1594">
        <v>380</v>
      </c>
      <c r="D392" s="1631">
        <v>2719365.4824631587</v>
      </c>
    </row>
    <row r="393" spans="3:4" ht="16">
      <c r="C393" s="1594">
        <v>381</v>
      </c>
      <c r="D393" s="1631">
        <v>2719365.4824631587</v>
      </c>
    </row>
    <row r="394" spans="3:4" ht="16">
      <c r="C394" s="1594">
        <v>382</v>
      </c>
      <c r="D394" s="1631">
        <v>2719365.4824631587</v>
      </c>
    </row>
    <row r="395" spans="3:4" ht="16">
      <c r="C395" s="1594">
        <v>383</v>
      </c>
      <c r="D395" s="1631">
        <v>2719365.4824631587</v>
      </c>
    </row>
    <row r="396" spans="3:4" ht="16">
      <c r="C396" s="1594">
        <v>384</v>
      </c>
      <c r="D396" s="1631">
        <v>2719365.4824631587</v>
      </c>
    </row>
    <row r="397" spans="3:4" ht="16">
      <c r="C397" s="1594">
        <v>385</v>
      </c>
      <c r="D397" s="1631">
        <v>2719365.4824631587</v>
      </c>
    </row>
    <row r="398" spans="3:4" ht="16">
      <c r="C398" s="1594">
        <v>386</v>
      </c>
      <c r="D398" s="1631">
        <v>2719365.4824631587</v>
      </c>
    </row>
    <row r="399" spans="3:4" ht="16">
      <c r="C399" s="1594">
        <v>387</v>
      </c>
      <c r="D399" s="1631">
        <v>2719365.4824631587</v>
      </c>
    </row>
    <row r="400" spans="3:4" ht="16">
      <c r="C400" s="1594">
        <v>388</v>
      </c>
      <c r="D400" s="1631">
        <v>2719365.4824631587</v>
      </c>
    </row>
    <row r="401" spans="3:4" ht="16">
      <c r="C401" s="1594">
        <v>389</v>
      </c>
      <c r="D401" s="1631">
        <v>2719365.4824631587</v>
      </c>
    </row>
    <row r="402" spans="3:4" ht="16">
      <c r="C402" s="1594">
        <v>390</v>
      </c>
      <c r="D402" s="1631">
        <v>2719365.4824631587</v>
      </c>
    </row>
    <row r="403" spans="3:4" ht="16">
      <c r="C403" s="1594">
        <v>391</v>
      </c>
      <c r="D403" s="1631">
        <v>2719365.4824631587</v>
      </c>
    </row>
    <row r="404" spans="3:4" ht="16">
      <c r="C404" s="1594">
        <v>392</v>
      </c>
      <c r="D404" s="1631">
        <v>2719365.4824631587</v>
      </c>
    </row>
    <row r="405" spans="3:4" ht="16">
      <c r="C405" s="1594">
        <v>393</v>
      </c>
      <c r="D405" s="1631">
        <v>2719365.4824631587</v>
      </c>
    </row>
    <row r="406" spans="3:4" ht="16">
      <c r="C406" s="1594">
        <v>394</v>
      </c>
      <c r="D406" s="1631">
        <v>2719365.4824631587</v>
      </c>
    </row>
    <row r="407" spans="3:4" ht="16">
      <c r="C407" s="1594">
        <v>395</v>
      </c>
      <c r="D407" s="1631">
        <v>2719365.4824631587</v>
      </c>
    </row>
    <row r="408" spans="3:4" ht="16">
      <c r="C408" s="1594">
        <v>396</v>
      </c>
      <c r="D408" s="1631">
        <v>2719365.4824631587</v>
      </c>
    </row>
    <row r="409" spans="3:4" ht="16">
      <c r="C409" s="1594">
        <v>397</v>
      </c>
      <c r="D409" s="1631">
        <v>2719365.4824631587</v>
      </c>
    </row>
    <row r="410" spans="3:4" ht="16">
      <c r="C410" s="1594">
        <v>398</v>
      </c>
      <c r="D410" s="1631">
        <v>2719365.4824631587</v>
      </c>
    </row>
    <row r="411" spans="3:4" ht="16">
      <c r="C411" s="1594">
        <v>399</v>
      </c>
      <c r="D411" s="1631">
        <v>2719365.4824631587</v>
      </c>
    </row>
    <row r="412" spans="3:4" ht="16">
      <c r="C412" s="1594">
        <v>400</v>
      </c>
      <c r="D412" s="1631">
        <v>2719365.4824631587</v>
      </c>
    </row>
    <row r="413" spans="3:4" ht="16">
      <c r="C413" s="1594">
        <v>401</v>
      </c>
      <c r="D413" s="1631">
        <v>2719365.4824631587</v>
      </c>
    </row>
    <row r="414" spans="3:4" ht="16">
      <c r="C414" s="1594">
        <v>402</v>
      </c>
      <c r="D414" s="1631">
        <v>2719365.4824631587</v>
      </c>
    </row>
    <row r="415" spans="3:4" ht="16">
      <c r="C415" s="1594">
        <v>403</v>
      </c>
      <c r="D415" s="1631">
        <v>2719365.4824631587</v>
      </c>
    </row>
    <row r="416" spans="3:4" ht="16">
      <c r="C416" s="1594">
        <v>404</v>
      </c>
      <c r="D416" s="1631">
        <v>2719365.4824631587</v>
      </c>
    </row>
    <row r="417" spans="3:4" ht="16">
      <c r="C417" s="1594">
        <v>405</v>
      </c>
      <c r="D417" s="1631">
        <v>2719365.4824631587</v>
      </c>
    </row>
    <row r="418" spans="3:4" ht="16">
      <c r="C418" s="1594">
        <v>406</v>
      </c>
      <c r="D418" s="1631">
        <v>2719365.4824631587</v>
      </c>
    </row>
    <row r="419" spans="3:4" ht="16">
      <c r="C419" s="1594">
        <v>407</v>
      </c>
      <c r="D419" s="1631">
        <v>2719365.4824631587</v>
      </c>
    </row>
    <row r="420" spans="3:4" ht="16">
      <c r="C420" s="1594">
        <v>408</v>
      </c>
      <c r="D420" s="1631">
        <v>2719365.4824631587</v>
      </c>
    </row>
    <row r="421" spans="3:4" ht="16">
      <c r="C421" s="1594">
        <v>409</v>
      </c>
      <c r="D421" s="1631">
        <v>2719365.4824631587</v>
      </c>
    </row>
    <row r="422" spans="3:4" ht="16">
      <c r="C422" s="1594">
        <v>410</v>
      </c>
      <c r="D422" s="1631">
        <v>2719365.4824631587</v>
      </c>
    </row>
    <row r="423" spans="3:4" ht="16">
      <c r="C423" s="1594">
        <v>411</v>
      </c>
      <c r="D423" s="1631">
        <v>2719365.4824631587</v>
      </c>
    </row>
    <row r="424" spans="3:4" ht="16">
      <c r="C424" s="1594">
        <v>412</v>
      </c>
      <c r="D424" s="1631">
        <v>2719365.4824631587</v>
      </c>
    </row>
    <row r="425" spans="3:4" ht="16">
      <c r="C425" s="1594">
        <v>413</v>
      </c>
      <c r="D425" s="1631">
        <v>2719365.4824631587</v>
      </c>
    </row>
    <row r="426" spans="3:4" ht="16">
      <c r="C426" s="1594">
        <v>414</v>
      </c>
      <c r="D426" s="1631">
        <v>2719365.4824631587</v>
      </c>
    </row>
    <row r="427" spans="3:4" ht="16">
      <c r="C427" s="1594">
        <v>415</v>
      </c>
      <c r="D427" s="1631">
        <v>2719365.4824631587</v>
      </c>
    </row>
    <row r="428" spans="3:4" ht="16">
      <c r="C428" s="1594">
        <v>416</v>
      </c>
      <c r="D428" s="1631">
        <v>2719365.4824631587</v>
      </c>
    </row>
    <row r="429" spans="3:4" ht="16">
      <c r="C429" s="1594">
        <v>417</v>
      </c>
      <c r="D429" s="1631">
        <v>2719365.4824631587</v>
      </c>
    </row>
    <row r="430" spans="3:4" ht="16">
      <c r="C430" s="1594">
        <v>418</v>
      </c>
      <c r="D430" s="1631">
        <v>2719365.4824631587</v>
      </c>
    </row>
    <row r="431" spans="3:4" ht="16">
      <c r="C431" s="1594">
        <v>419</v>
      </c>
      <c r="D431" s="1631">
        <v>2719365.4824631587</v>
      </c>
    </row>
    <row r="432" spans="3:4" ht="16">
      <c r="C432" s="1594">
        <v>420</v>
      </c>
      <c r="D432" s="1631">
        <v>2719365.4824631587</v>
      </c>
    </row>
    <row r="433" spans="3:4" ht="16">
      <c r="C433" s="1594">
        <v>421</v>
      </c>
      <c r="D433" s="1631">
        <v>2719365.4824631587</v>
      </c>
    </row>
    <row r="434" spans="3:4" ht="16">
      <c r="C434" s="1594">
        <v>422</v>
      </c>
      <c r="D434" s="1631">
        <v>2719365.4824631587</v>
      </c>
    </row>
    <row r="435" spans="3:4" ht="16">
      <c r="C435" s="1594">
        <v>423</v>
      </c>
      <c r="D435" s="1631">
        <v>2719365.4824631587</v>
      </c>
    </row>
    <row r="436" spans="3:4" ht="16">
      <c r="C436" s="1594">
        <v>424</v>
      </c>
      <c r="D436" s="1631">
        <v>2719365.4824631587</v>
      </c>
    </row>
    <row r="437" spans="3:4" ht="16">
      <c r="C437" s="1594">
        <v>425</v>
      </c>
      <c r="D437" s="1631">
        <v>2719365.4824631587</v>
      </c>
    </row>
    <row r="438" spans="3:4" ht="16">
      <c r="C438" s="1594">
        <v>426</v>
      </c>
      <c r="D438" s="1631">
        <v>2719365.4824631587</v>
      </c>
    </row>
    <row r="439" spans="3:4" ht="16">
      <c r="C439" s="1594">
        <v>427</v>
      </c>
      <c r="D439" s="1631">
        <v>2719365.4824631587</v>
      </c>
    </row>
    <row r="440" spans="3:4" ht="16">
      <c r="C440" s="1594">
        <v>428</v>
      </c>
      <c r="D440" s="1631">
        <v>2719365.4824631587</v>
      </c>
    </row>
    <row r="441" spans="3:4" ht="16">
      <c r="C441" s="1594">
        <v>429</v>
      </c>
      <c r="D441" s="1631">
        <v>2719365.4824631587</v>
      </c>
    </row>
    <row r="442" spans="3:4" ht="16">
      <c r="C442" s="1594">
        <v>430</v>
      </c>
      <c r="D442" s="1631">
        <v>2719365.4824631587</v>
      </c>
    </row>
    <row r="443" spans="3:4" ht="16">
      <c r="C443" s="1594">
        <v>431</v>
      </c>
      <c r="D443" s="1631">
        <v>2719365.4824631587</v>
      </c>
    </row>
    <row r="444" spans="3:4" ht="16">
      <c r="C444" s="1594">
        <v>432</v>
      </c>
      <c r="D444" s="1631">
        <v>2719365.4824631587</v>
      </c>
    </row>
    <row r="445" spans="3:4" ht="16">
      <c r="C445" s="1594">
        <v>433</v>
      </c>
      <c r="D445" s="1631">
        <v>2719365.4824631587</v>
      </c>
    </row>
    <row r="446" spans="3:4" ht="16">
      <c r="C446" s="1594">
        <v>434</v>
      </c>
      <c r="D446" s="1631">
        <v>2719365.4824631587</v>
      </c>
    </row>
    <row r="447" spans="3:4" ht="16">
      <c r="C447" s="1594">
        <v>435</v>
      </c>
      <c r="D447" s="1631">
        <v>2719365.4824631587</v>
      </c>
    </row>
    <row r="448" spans="3:4" ht="16">
      <c r="C448" s="1594">
        <v>436</v>
      </c>
      <c r="D448" s="1631">
        <v>2719365.4824631587</v>
      </c>
    </row>
    <row r="449" spans="3:4" ht="16">
      <c r="C449" s="1594">
        <v>437</v>
      </c>
      <c r="D449" s="1631">
        <v>2719365.4824631587</v>
      </c>
    </row>
    <row r="450" spans="3:4" ht="16">
      <c r="C450" s="1594">
        <v>438</v>
      </c>
      <c r="D450" s="1631">
        <v>2719365.4824631587</v>
      </c>
    </row>
    <row r="451" spans="3:4" ht="16">
      <c r="C451" s="1594">
        <v>439</v>
      </c>
      <c r="D451" s="1631">
        <v>2719365.4824631587</v>
      </c>
    </row>
    <row r="452" spans="3:4" ht="16">
      <c r="C452" s="1594">
        <v>440</v>
      </c>
      <c r="D452" s="1631">
        <v>2719365.4824631587</v>
      </c>
    </row>
    <row r="453" spans="3:4" ht="16">
      <c r="C453" s="1594">
        <v>441</v>
      </c>
      <c r="D453" s="1631">
        <v>2719365.4824631587</v>
      </c>
    </row>
    <row r="454" spans="3:4" ht="16">
      <c r="C454" s="1594">
        <v>442</v>
      </c>
      <c r="D454" s="1631">
        <v>2719365.4824631587</v>
      </c>
    </row>
    <row r="455" spans="3:4" ht="16">
      <c r="C455" s="1594">
        <v>443</v>
      </c>
      <c r="D455" s="1631">
        <v>2719365.4824631587</v>
      </c>
    </row>
    <row r="456" spans="3:4" ht="16">
      <c r="C456" s="1594">
        <v>444</v>
      </c>
      <c r="D456" s="1631">
        <v>2719365.4824631587</v>
      </c>
    </row>
    <row r="457" spans="3:4" ht="16">
      <c r="C457" s="1594">
        <v>445</v>
      </c>
      <c r="D457" s="1631">
        <v>2719365.4824631587</v>
      </c>
    </row>
    <row r="458" spans="3:4" ht="16">
      <c r="C458" s="1594">
        <v>446</v>
      </c>
      <c r="D458" s="1631">
        <v>2719365.4824631587</v>
      </c>
    </row>
    <row r="459" spans="3:4" ht="16">
      <c r="C459" s="1594">
        <v>447</v>
      </c>
      <c r="D459" s="1631">
        <v>2719365.4824631587</v>
      </c>
    </row>
    <row r="460" spans="3:4" ht="16">
      <c r="C460" s="1594">
        <v>448</v>
      </c>
      <c r="D460" s="1631">
        <v>2719365.4824631587</v>
      </c>
    </row>
    <row r="461" spans="3:4" ht="16">
      <c r="C461" s="1594">
        <v>449</v>
      </c>
      <c r="D461" s="1631">
        <v>2719365.4824631587</v>
      </c>
    </row>
    <row r="462" spans="3:4" ht="16">
      <c r="C462" s="1594">
        <v>450</v>
      </c>
      <c r="D462" s="1631">
        <v>2719365.4824631587</v>
      </c>
    </row>
    <row r="463" spans="3:4" ht="16">
      <c r="C463" s="1594">
        <v>451</v>
      </c>
      <c r="D463" s="1631">
        <v>2719365.4824631587</v>
      </c>
    </row>
    <row r="464" spans="3:4" ht="16">
      <c r="C464" s="1594">
        <v>452</v>
      </c>
      <c r="D464" s="1631">
        <v>2719365.4824631587</v>
      </c>
    </row>
    <row r="465" spans="3:4" ht="16">
      <c r="C465" s="1594">
        <v>453</v>
      </c>
      <c r="D465" s="1631">
        <v>2719365.4824631587</v>
      </c>
    </row>
    <row r="466" spans="3:4" ht="16">
      <c r="C466" s="1594">
        <v>454</v>
      </c>
      <c r="D466" s="1631">
        <v>2719365.4824631587</v>
      </c>
    </row>
    <row r="467" spans="3:4" ht="16">
      <c r="C467" s="1594">
        <v>455</v>
      </c>
      <c r="D467" s="1631">
        <v>2719365.4824631587</v>
      </c>
    </row>
    <row r="468" spans="3:4" ht="16">
      <c r="C468" s="1594">
        <v>456</v>
      </c>
      <c r="D468" s="1631">
        <v>2719365.4824631587</v>
      </c>
    </row>
    <row r="469" spans="3:4" ht="16">
      <c r="C469" s="1594">
        <v>457</v>
      </c>
      <c r="D469" s="1631">
        <v>2719365.4824631587</v>
      </c>
    </row>
    <row r="470" spans="3:4" ht="16">
      <c r="C470" s="1594">
        <v>458</v>
      </c>
      <c r="D470" s="1631">
        <v>2719365.4824631587</v>
      </c>
    </row>
    <row r="471" spans="3:4" ht="16">
      <c r="C471" s="1594">
        <v>459</v>
      </c>
      <c r="D471" s="1631">
        <v>2719365.4824631587</v>
      </c>
    </row>
    <row r="472" spans="3:4" ht="16">
      <c r="C472" s="1594">
        <v>460</v>
      </c>
      <c r="D472" s="1631">
        <v>2719365.4824631587</v>
      </c>
    </row>
    <row r="473" spans="3:4" ht="16">
      <c r="C473" s="1594">
        <v>461</v>
      </c>
      <c r="D473" s="1631">
        <v>2719365.4824631587</v>
      </c>
    </row>
    <row r="474" spans="3:4" ht="16">
      <c r="C474" s="1594">
        <v>462</v>
      </c>
      <c r="D474" s="1631">
        <v>2719365.4824631587</v>
      </c>
    </row>
    <row r="475" spans="3:4" ht="16">
      <c r="C475" s="1594">
        <v>463</v>
      </c>
      <c r="D475" s="1631">
        <v>2719365.4824631587</v>
      </c>
    </row>
    <row r="476" spans="3:4" ht="16">
      <c r="C476" s="1594">
        <v>464</v>
      </c>
      <c r="D476" s="1631">
        <v>2719365.4824631587</v>
      </c>
    </row>
    <row r="477" spans="3:4" ht="16">
      <c r="C477" s="1594">
        <v>465</v>
      </c>
      <c r="D477" s="1631">
        <v>2719365.4824631587</v>
      </c>
    </row>
    <row r="478" spans="3:4" ht="16">
      <c r="C478" s="1594">
        <v>466</v>
      </c>
      <c r="D478" s="1631">
        <v>2719365.4824631587</v>
      </c>
    </row>
    <row r="479" spans="3:4" ht="16">
      <c r="C479" s="1594">
        <v>467</v>
      </c>
      <c r="D479" s="1631">
        <v>2719365.4824631587</v>
      </c>
    </row>
    <row r="480" spans="3:4" ht="16">
      <c r="C480" s="1594">
        <v>468</v>
      </c>
      <c r="D480" s="1631">
        <v>2719365.4824631587</v>
      </c>
    </row>
    <row r="481" spans="3:4" ht="16">
      <c r="C481" s="1594">
        <v>469</v>
      </c>
      <c r="D481" s="1631">
        <v>2719365.4824631587</v>
      </c>
    </row>
    <row r="482" spans="3:4" ht="16">
      <c r="C482" s="1594">
        <v>470</v>
      </c>
      <c r="D482" s="1631">
        <v>2719365.4824631587</v>
      </c>
    </row>
    <row r="483" spans="3:4" ht="16">
      <c r="C483" s="1594">
        <v>471</v>
      </c>
      <c r="D483" s="1631">
        <v>2719365.4824631587</v>
      </c>
    </row>
    <row r="484" spans="3:4" ht="16">
      <c r="C484" s="1594">
        <v>472</v>
      </c>
      <c r="D484" s="1631">
        <v>2719365.4824631587</v>
      </c>
    </row>
    <row r="485" spans="3:4" ht="16">
      <c r="C485" s="1594">
        <v>473</v>
      </c>
      <c r="D485" s="1631">
        <v>2719365.4824631587</v>
      </c>
    </row>
    <row r="486" spans="3:4" ht="16">
      <c r="C486" s="1594">
        <v>474</v>
      </c>
      <c r="D486" s="1631">
        <v>2719365.4824631587</v>
      </c>
    </row>
    <row r="487" spans="3:4" ht="16">
      <c r="C487" s="1594">
        <v>475</v>
      </c>
      <c r="D487" s="1631">
        <v>2719365.4824631587</v>
      </c>
    </row>
    <row r="488" spans="3:4" ht="16">
      <c r="C488" s="1594">
        <v>476</v>
      </c>
      <c r="D488" s="1631">
        <v>2719365.4824631587</v>
      </c>
    </row>
    <row r="489" spans="3:4" ht="16">
      <c r="C489" s="1594">
        <v>477</v>
      </c>
      <c r="D489" s="1631">
        <v>2719365.4824631587</v>
      </c>
    </row>
    <row r="490" spans="3:4" ht="16">
      <c r="C490" s="1594">
        <v>478</v>
      </c>
      <c r="D490" s="1631">
        <v>2719365.4824631587</v>
      </c>
    </row>
    <row r="491" spans="3:4" ht="16">
      <c r="C491" s="1594">
        <v>479</v>
      </c>
      <c r="D491" s="1631">
        <v>2719365.4824631587</v>
      </c>
    </row>
    <row r="492" spans="3:4" ht="16">
      <c r="C492" s="1594">
        <v>480</v>
      </c>
      <c r="D492" s="1631">
        <v>2719365.4824631587</v>
      </c>
    </row>
    <row r="493" spans="3:4" ht="16">
      <c r="C493" s="1594">
        <v>481</v>
      </c>
      <c r="D493" s="1631">
        <v>2719365.4824631587</v>
      </c>
    </row>
    <row r="494" spans="3:4" ht="16">
      <c r="C494" s="1594">
        <v>482</v>
      </c>
      <c r="D494" s="1631">
        <v>2719365.4824631587</v>
      </c>
    </row>
    <row r="495" spans="3:4" ht="16">
      <c r="C495" s="1594">
        <v>483</v>
      </c>
      <c r="D495" s="1631">
        <v>2719365.4824631587</v>
      </c>
    </row>
    <row r="496" spans="3:4" ht="16">
      <c r="C496" s="1594">
        <v>484</v>
      </c>
      <c r="D496" s="1631">
        <v>2719365.4824631587</v>
      </c>
    </row>
    <row r="497" spans="3:4" ht="16">
      <c r="C497" s="1594">
        <v>485</v>
      </c>
      <c r="D497" s="1631">
        <v>2719365.4824631587</v>
      </c>
    </row>
    <row r="498" spans="3:4" ht="16">
      <c r="C498" s="1594">
        <v>486</v>
      </c>
      <c r="D498" s="1631">
        <v>2719365.4824631587</v>
      </c>
    </row>
    <row r="499" spans="3:4" ht="16">
      <c r="C499" s="1594">
        <v>487</v>
      </c>
      <c r="D499" s="1631">
        <v>2719365.4824631587</v>
      </c>
    </row>
    <row r="500" spans="3:4" ht="16">
      <c r="C500" s="1594">
        <v>488</v>
      </c>
      <c r="D500" s="1631">
        <v>2719365.4824631587</v>
      </c>
    </row>
    <row r="501" spans="3:4" ht="16">
      <c r="C501" s="1594">
        <v>489</v>
      </c>
      <c r="D501" s="1631">
        <v>2719365.4824631587</v>
      </c>
    </row>
    <row r="502" spans="3:4" ht="16">
      <c r="C502" s="1594">
        <v>490</v>
      </c>
      <c r="D502" s="1631">
        <v>2719365.4824631587</v>
      </c>
    </row>
    <row r="503" spans="3:4" ht="16">
      <c r="C503" s="1594">
        <v>491</v>
      </c>
      <c r="D503" s="1631">
        <v>2719365.4824631587</v>
      </c>
    </row>
    <row r="504" spans="3:4" ht="16">
      <c r="C504" s="1594">
        <v>492</v>
      </c>
      <c r="D504" s="1631">
        <v>2719365.4824631587</v>
      </c>
    </row>
    <row r="505" spans="3:4" ht="16">
      <c r="C505" s="1594">
        <v>493</v>
      </c>
      <c r="D505" s="1631">
        <v>2719365.4824631587</v>
      </c>
    </row>
    <row r="506" spans="3:4" ht="16">
      <c r="C506" s="1594">
        <v>494</v>
      </c>
      <c r="D506" s="1631">
        <v>2719365.4824631587</v>
      </c>
    </row>
    <row r="507" spans="3:4" ht="16">
      <c r="C507" s="1594">
        <v>495</v>
      </c>
      <c r="D507" s="1631">
        <v>2719365.4824631587</v>
      </c>
    </row>
    <row r="508" spans="3:4" ht="16">
      <c r="C508" s="1594">
        <v>496</v>
      </c>
      <c r="D508" s="1631">
        <v>2719365.4824631587</v>
      </c>
    </row>
    <row r="509" spans="3:4" ht="16">
      <c r="C509" s="1594">
        <v>497</v>
      </c>
      <c r="D509" s="1631">
        <v>2719365.4824631587</v>
      </c>
    </row>
    <row r="510" spans="3:4" ht="16">
      <c r="C510" s="1594">
        <v>498</v>
      </c>
      <c r="D510" s="1631">
        <v>2719365.4824631587</v>
      </c>
    </row>
    <row r="511" spans="3:4" ht="16">
      <c r="C511" s="1594">
        <v>499</v>
      </c>
      <c r="D511" s="1631">
        <v>2719365.4824631587</v>
      </c>
    </row>
    <row r="512" spans="3:4" ht="16">
      <c r="C512" s="1594">
        <v>500</v>
      </c>
      <c r="D512" s="1631">
        <v>2719365.4824631587</v>
      </c>
    </row>
    <row r="513" spans="3:4" ht="16">
      <c r="C513" s="1594">
        <v>501</v>
      </c>
      <c r="D513" s="1631">
        <v>2719365.4824631587</v>
      </c>
    </row>
    <row r="514" spans="3:4" ht="16">
      <c r="C514" s="1594">
        <v>502</v>
      </c>
      <c r="D514" s="1631">
        <v>2719365.4824631587</v>
      </c>
    </row>
    <row r="515" spans="3:4" ht="16">
      <c r="C515" s="1594">
        <v>503</v>
      </c>
      <c r="D515" s="1631">
        <v>2719365.4824631587</v>
      </c>
    </row>
    <row r="516" spans="3:4" ht="16">
      <c r="C516" s="1594">
        <v>504</v>
      </c>
      <c r="D516" s="1631">
        <v>2719365.4824631587</v>
      </c>
    </row>
    <row r="517" spans="3:4" ht="16">
      <c r="C517" s="1594">
        <v>505</v>
      </c>
      <c r="D517" s="1631">
        <v>2719365.4824631587</v>
      </c>
    </row>
    <row r="518" spans="3:4" ht="16">
      <c r="C518" s="1594">
        <v>506</v>
      </c>
      <c r="D518" s="1631">
        <v>2719365.4824631587</v>
      </c>
    </row>
    <row r="519" spans="3:4" ht="16">
      <c r="C519" s="1594">
        <v>507</v>
      </c>
      <c r="D519" s="1631">
        <v>2719365.4824631587</v>
      </c>
    </row>
    <row r="520" spans="3:4" ht="16">
      <c r="C520" s="1594">
        <v>508</v>
      </c>
      <c r="D520" s="1631">
        <v>2719365.4824631587</v>
      </c>
    </row>
    <row r="521" spans="3:4" ht="16">
      <c r="C521" s="1594">
        <v>509</v>
      </c>
      <c r="D521" s="1631">
        <v>2719365.4824631587</v>
      </c>
    </row>
    <row r="522" spans="3:4" ht="16">
      <c r="C522" s="1594">
        <v>510</v>
      </c>
      <c r="D522" s="1631">
        <v>2719365.4824631587</v>
      </c>
    </row>
    <row r="523" spans="3:4" ht="16">
      <c r="C523" s="1594">
        <v>511</v>
      </c>
      <c r="D523" s="1631">
        <v>2719365.4824631587</v>
      </c>
    </row>
    <row r="524" spans="3:4" ht="16">
      <c r="C524" s="1594">
        <v>512</v>
      </c>
      <c r="D524" s="1631">
        <v>2719365.4824631587</v>
      </c>
    </row>
    <row r="525" spans="3:4" ht="16">
      <c r="C525" s="1594">
        <v>513</v>
      </c>
      <c r="D525" s="1631">
        <v>2719365.4824631587</v>
      </c>
    </row>
    <row r="526" spans="3:4" ht="16">
      <c r="C526" s="1594">
        <v>514</v>
      </c>
      <c r="D526" s="1631">
        <v>2719365.4824631587</v>
      </c>
    </row>
    <row r="527" spans="3:4" ht="16">
      <c r="C527" s="1594">
        <v>515</v>
      </c>
      <c r="D527" s="1631">
        <v>2719365.4824631587</v>
      </c>
    </row>
    <row r="528" spans="3:4" ht="16">
      <c r="C528" s="1594">
        <v>516</v>
      </c>
      <c r="D528" s="1631">
        <v>2719365.4824631587</v>
      </c>
    </row>
    <row r="529" spans="3:4" ht="16">
      <c r="C529" s="1594">
        <v>517</v>
      </c>
      <c r="D529" s="1631">
        <v>2719365.4824631587</v>
      </c>
    </row>
    <row r="530" spans="3:4" ht="16">
      <c r="C530" s="1594">
        <v>518</v>
      </c>
      <c r="D530" s="1631">
        <v>2719365.4824631587</v>
      </c>
    </row>
    <row r="531" spans="3:4" ht="16">
      <c r="C531" s="1594">
        <v>519</v>
      </c>
      <c r="D531" s="1631">
        <v>2719365.4824631587</v>
      </c>
    </row>
    <row r="532" spans="3:4" ht="16">
      <c r="C532" s="1594">
        <v>520</v>
      </c>
      <c r="D532" s="1631">
        <v>2719365.4824631587</v>
      </c>
    </row>
    <row r="533" spans="3:4" ht="16">
      <c r="C533" s="1594">
        <v>521</v>
      </c>
      <c r="D533" s="1631">
        <v>2719365.4824631587</v>
      </c>
    </row>
    <row r="534" spans="3:4" ht="16">
      <c r="C534" s="1594">
        <v>522</v>
      </c>
      <c r="D534" s="1631">
        <v>2719365.4824631587</v>
      </c>
    </row>
    <row r="535" spans="3:4" ht="16">
      <c r="C535" s="1594">
        <v>523</v>
      </c>
      <c r="D535" s="1631">
        <v>2719365.4824631587</v>
      </c>
    </row>
    <row r="536" spans="3:4" ht="16">
      <c r="C536" s="1594">
        <v>524</v>
      </c>
      <c r="D536" s="1631">
        <v>2719365.4824631587</v>
      </c>
    </row>
    <row r="537" spans="3:4" ht="16">
      <c r="C537" s="1594">
        <v>525</v>
      </c>
      <c r="D537" s="1631">
        <v>2719365.4824631587</v>
      </c>
    </row>
    <row r="538" spans="3:4" ht="16">
      <c r="C538" s="1594">
        <v>526</v>
      </c>
      <c r="D538" s="1631">
        <v>2719365.4824631587</v>
      </c>
    </row>
    <row r="539" spans="3:4" ht="16">
      <c r="C539" s="1594">
        <v>527</v>
      </c>
      <c r="D539" s="1631">
        <v>2719365.4824631587</v>
      </c>
    </row>
    <row r="540" spans="3:4" ht="16">
      <c r="C540" s="1594">
        <v>528</v>
      </c>
      <c r="D540" s="1631">
        <v>2719365.4824631587</v>
      </c>
    </row>
    <row r="541" spans="3:4" ht="16">
      <c r="C541" s="1594">
        <v>529</v>
      </c>
      <c r="D541" s="1631">
        <v>2719365.4824631587</v>
      </c>
    </row>
    <row r="542" spans="3:4" ht="16">
      <c r="C542" s="1594">
        <v>530</v>
      </c>
      <c r="D542" s="1631">
        <v>2719365.4824631587</v>
      </c>
    </row>
    <row r="543" spans="3:4" ht="16">
      <c r="C543" s="1594">
        <v>531</v>
      </c>
      <c r="D543" s="1631">
        <v>2719365.4824631587</v>
      </c>
    </row>
    <row r="544" spans="3:4" ht="16">
      <c r="C544" s="1594">
        <v>532</v>
      </c>
      <c r="D544" s="1631">
        <v>2719365.4824631587</v>
      </c>
    </row>
    <row r="545" spans="3:4" ht="16">
      <c r="C545" s="1594">
        <v>533</v>
      </c>
      <c r="D545" s="1631">
        <v>2719365.4824631587</v>
      </c>
    </row>
    <row r="546" spans="3:4" ht="16">
      <c r="C546" s="1594">
        <v>534</v>
      </c>
      <c r="D546" s="1631">
        <v>2719365.4824631587</v>
      </c>
    </row>
    <row r="547" spans="3:4" ht="16">
      <c r="C547" s="1594">
        <v>535</v>
      </c>
      <c r="D547" s="1631">
        <v>2719365.4824631587</v>
      </c>
    </row>
    <row r="548" spans="3:4" ht="16">
      <c r="C548" s="1594">
        <v>536</v>
      </c>
      <c r="D548" s="1631">
        <v>2719365.4824631587</v>
      </c>
    </row>
    <row r="549" spans="3:4" ht="16">
      <c r="C549" s="1594">
        <v>537</v>
      </c>
      <c r="D549" s="1631">
        <v>2719365.4824631587</v>
      </c>
    </row>
    <row r="550" spans="3:4" ht="16">
      <c r="C550" s="1594">
        <v>538</v>
      </c>
      <c r="D550" s="1631">
        <v>2719365.4824631587</v>
      </c>
    </row>
    <row r="551" spans="3:4" ht="16">
      <c r="C551" s="1594">
        <v>539</v>
      </c>
      <c r="D551" s="1631">
        <v>2719365.4824631587</v>
      </c>
    </row>
    <row r="552" spans="3:4" ht="16">
      <c r="C552" s="1594">
        <v>540</v>
      </c>
      <c r="D552" s="1631">
        <v>2719365.4824631587</v>
      </c>
    </row>
    <row r="553" spans="3:4" ht="16">
      <c r="C553" s="1594">
        <v>541</v>
      </c>
      <c r="D553" s="1631">
        <v>2719365.4824631587</v>
      </c>
    </row>
    <row r="554" spans="3:4" ht="16">
      <c r="C554" s="1594">
        <v>542</v>
      </c>
      <c r="D554" s="1631">
        <v>2719365.4824631587</v>
      </c>
    </row>
    <row r="555" spans="3:4" ht="16">
      <c r="C555" s="1594">
        <v>543</v>
      </c>
      <c r="D555" s="1631">
        <v>2719365.4824631587</v>
      </c>
    </row>
    <row r="556" spans="3:4" ht="16">
      <c r="C556" s="1594">
        <v>544</v>
      </c>
      <c r="D556" s="1631">
        <v>2719365.4824631587</v>
      </c>
    </row>
    <row r="557" spans="3:4" ht="16">
      <c r="C557" s="1594">
        <v>545</v>
      </c>
      <c r="D557" s="1631">
        <v>2719365.4824631587</v>
      </c>
    </row>
    <row r="558" spans="3:4" ht="16">
      <c r="C558" s="1594">
        <v>546</v>
      </c>
      <c r="D558" s="1631">
        <v>2719365.4824631587</v>
      </c>
    </row>
    <row r="559" spans="3:4" ht="16">
      <c r="C559" s="1594">
        <v>547</v>
      </c>
      <c r="D559" s="1631">
        <v>2719365.4824631587</v>
      </c>
    </row>
    <row r="560" spans="3:4" ht="16">
      <c r="C560" s="1594">
        <v>548</v>
      </c>
      <c r="D560" s="1631">
        <v>2719365.4824631587</v>
      </c>
    </row>
    <row r="561" spans="3:4" ht="16">
      <c r="C561" s="1594">
        <v>549</v>
      </c>
      <c r="D561" s="1631">
        <v>2719365.4824631587</v>
      </c>
    </row>
    <row r="562" spans="3:4" ht="16">
      <c r="C562" s="1594">
        <v>550</v>
      </c>
      <c r="D562" s="1631">
        <v>2719365.4824631587</v>
      </c>
    </row>
    <row r="563" spans="3:4" ht="16">
      <c r="C563" s="1594">
        <v>551</v>
      </c>
      <c r="D563" s="1631">
        <v>2719365.4824631587</v>
      </c>
    </row>
    <row r="564" spans="3:4" ht="16">
      <c r="C564" s="1594">
        <v>552</v>
      </c>
      <c r="D564" s="1631">
        <v>2719365.4824631587</v>
      </c>
    </row>
    <row r="565" spans="3:4" ht="16">
      <c r="C565" s="1594">
        <v>553</v>
      </c>
      <c r="D565" s="1631">
        <v>2719365.4824631587</v>
      </c>
    </row>
    <row r="566" spans="3:4" ht="16">
      <c r="C566" s="1594">
        <v>554</v>
      </c>
      <c r="D566" s="1631">
        <v>2719365.4824631587</v>
      </c>
    </row>
    <row r="567" spans="3:4" ht="16">
      <c r="C567" s="1594">
        <v>555</v>
      </c>
      <c r="D567" s="1631">
        <v>2719365.4824631587</v>
      </c>
    </row>
    <row r="568" spans="3:4" ht="16">
      <c r="C568" s="1594">
        <v>556</v>
      </c>
      <c r="D568" s="1631">
        <v>2719365.4824631587</v>
      </c>
    </row>
    <row r="569" spans="3:4" ht="16">
      <c r="C569" s="1594">
        <v>557</v>
      </c>
      <c r="D569" s="1631">
        <v>2719365.4824631587</v>
      </c>
    </row>
    <row r="570" spans="3:4" ht="16">
      <c r="C570" s="1594">
        <v>558</v>
      </c>
      <c r="D570" s="1631">
        <v>2719365.4824631587</v>
      </c>
    </row>
    <row r="571" spans="3:4" ht="16">
      <c r="C571" s="1594">
        <v>559</v>
      </c>
      <c r="D571" s="1631">
        <v>2719365.4824631587</v>
      </c>
    </row>
    <row r="572" spans="3:4" ht="16">
      <c r="C572" s="1594">
        <v>560</v>
      </c>
      <c r="D572" s="1631">
        <v>2719365.4824631587</v>
      </c>
    </row>
    <row r="573" spans="3:4" ht="16">
      <c r="C573" s="1594">
        <v>561</v>
      </c>
      <c r="D573" s="1631">
        <v>2719365.4824631587</v>
      </c>
    </row>
    <row r="574" spans="3:4" ht="16">
      <c r="C574" s="1594">
        <v>562</v>
      </c>
      <c r="D574" s="1631">
        <v>2719365.4824631587</v>
      </c>
    </row>
    <row r="575" spans="3:4" ht="16">
      <c r="C575" s="1594">
        <v>563</v>
      </c>
      <c r="D575" s="1631">
        <v>2719365.4824631587</v>
      </c>
    </row>
    <row r="576" spans="3:4" ht="16">
      <c r="C576" s="1594">
        <v>564</v>
      </c>
      <c r="D576" s="1631">
        <v>2719365.4824631587</v>
      </c>
    </row>
    <row r="577" spans="3:4" ht="16">
      <c r="C577" s="1594">
        <v>565</v>
      </c>
      <c r="D577" s="1631">
        <v>2719365.4824631587</v>
      </c>
    </row>
    <row r="578" spans="3:4" ht="16">
      <c r="C578" s="1594">
        <v>566</v>
      </c>
      <c r="D578" s="1631">
        <v>2719365.4824631587</v>
      </c>
    </row>
    <row r="579" spans="3:4" ht="16">
      <c r="C579" s="1594">
        <v>567</v>
      </c>
      <c r="D579" s="1631">
        <v>2719365.4824631587</v>
      </c>
    </row>
    <row r="580" spans="3:4" ht="16">
      <c r="C580" s="1594">
        <v>568</v>
      </c>
      <c r="D580" s="1631">
        <v>2719365.4824631587</v>
      </c>
    </row>
    <row r="581" spans="3:4" ht="16">
      <c r="C581" s="1594">
        <v>569</v>
      </c>
      <c r="D581" s="1631">
        <v>2719365.4824631587</v>
      </c>
    </row>
    <row r="582" spans="3:4" ht="16">
      <c r="C582" s="1594">
        <v>570</v>
      </c>
      <c r="D582" s="1631">
        <v>2719365.4824631587</v>
      </c>
    </row>
    <row r="583" spans="3:4" ht="16">
      <c r="C583" s="1594">
        <v>571</v>
      </c>
      <c r="D583" s="1631">
        <v>2719365.4824631587</v>
      </c>
    </row>
    <row r="584" spans="3:4" ht="16">
      <c r="C584" s="1594">
        <v>572</v>
      </c>
      <c r="D584" s="1631">
        <v>2719365.4824631587</v>
      </c>
    </row>
    <row r="585" spans="3:4" ht="16">
      <c r="C585" s="1594">
        <v>573</v>
      </c>
      <c r="D585" s="1631">
        <v>2719365.4824631587</v>
      </c>
    </row>
    <row r="586" spans="3:4" ht="16">
      <c r="C586" s="1594">
        <v>574</v>
      </c>
      <c r="D586" s="1631">
        <v>2719365.4824631587</v>
      </c>
    </row>
    <row r="587" spans="3:4" ht="16">
      <c r="C587" s="1594">
        <v>575</v>
      </c>
      <c r="D587" s="1631">
        <v>2719365.4824631587</v>
      </c>
    </row>
    <row r="588" spans="3:4" ht="16">
      <c r="C588" s="1594">
        <v>576</v>
      </c>
      <c r="D588" s="1631">
        <v>2719365.4824631587</v>
      </c>
    </row>
    <row r="589" spans="3:4" ht="16">
      <c r="C589" s="1594">
        <v>577</v>
      </c>
      <c r="D589" s="1631">
        <v>2719365.4824631587</v>
      </c>
    </row>
    <row r="590" spans="3:4" ht="16">
      <c r="C590" s="1594">
        <v>578</v>
      </c>
      <c r="D590" s="1631">
        <v>2719365.4824631587</v>
      </c>
    </row>
    <row r="591" spans="3:4" ht="16">
      <c r="C591" s="1594">
        <v>579</v>
      </c>
      <c r="D591" s="1631">
        <v>2719365.4824631587</v>
      </c>
    </row>
    <row r="592" spans="3:4" ht="16">
      <c r="C592" s="1594">
        <v>580</v>
      </c>
      <c r="D592" s="1631">
        <v>2719365.4824631587</v>
      </c>
    </row>
    <row r="593" spans="3:4" ht="16">
      <c r="C593" s="1594">
        <v>581</v>
      </c>
      <c r="D593" s="1631">
        <v>2719365.4824631587</v>
      </c>
    </row>
    <row r="594" spans="3:4" ht="16">
      <c r="C594" s="1594">
        <v>582</v>
      </c>
      <c r="D594" s="1631">
        <v>2719365.4824631587</v>
      </c>
    </row>
    <row r="595" spans="3:4" ht="16">
      <c r="C595" s="1594">
        <v>583</v>
      </c>
      <c r="D595" s="1631">
        <v>2719365.4824631587</v>
      </c>
    </row>
    <row r="596" spans="3:4" ht="16">
      <c r="C596" s="1594">
        <v>584</v>
      </c>
      <c r="D596" s="1631">
        <v>2719365.4824631587</v>
      </c>
    </row>
    <row r="597" spans="3:4" ht="16">
      <c r="C597" s="1594">
        <v>585</v>
      </c>
      <c r="D597" s="1631">
        <v>2719365.4824631587</v>
      </c>
    </row>
    <row r="598" spans="3:4" ht="16">
      <c r="C598" s="1594">
        <v>586</v>
      </c>
      <c r="D598" s="1631">
        <v>2719365.4824631587</v>
      </c>
    </row>
    <row r="599" spans="3:4" ht="16">
      <c r="C599" s="1594">
        <v>587</v>
      </c>
      <c r="D599" s="1631">
        <v>2719365.4824631587</v>
      </c>
    </row>
    <row r="600" spans="3:4" ht="16">
      <c r="C600" s="1594">
        <v>588</v>
      </c>
      <c r="D600" s="1631">
        <v>2719365.4824631587</v>
      </c>
    </row>
    <row r="601" spans="3:4" ht="16">
      <c r="C601" s="1594">
        <v>589</v>
      </c>
      <c r="D601" s="1631">
        <v>2719365.4824631587</v>
      </c>
    </row>
    <row r="602" spans="3:4" ht="16">
      <c r="C602" s="1594">
        <v>590</v>
      </c>
      <c r="D602" s="1631">
        <v>2719365.4824631587</v>
      </c>
    </row>
    <row r="603" spans="3:4" ht="16">
      <c r="C603" s="1594">
        <v>591</v>
      </c>
      <c r="D603" s="1631">
        <v>2719365.4824631587</v>
      </c>
    </row>
    <row r="604" spans="3:4" ht="16">
      <c r="C604" s="1594">
        <v>592</v>
      </c>
      <c r="D604" s="1631">
        <v>2719365.4824631587</v>
      </c>
    </row>
    <row r="605" spans="3:4" ht="16">
      <c r="C605" s="1594">
        <v>593</v>
      </c>
      <c r="D605" s="1631">
        <v>2719365.4824631587</v>
      </c>
    </row>
    <row r="606" spans="3:4" ht="16">
      <c r="C606" s="1594">
        <v>594</v>
      </c>
      <c r="D606" s="1631">
        <v>2719365.4824631587</v>
      </c>
    </row>
    <row r="607" spans="3:4" ht="16">
      <c r="C607" s="1594">
        <v>595</v>
      </c>
      <c r="D607" s="1631">
        <v>2719365.4824631587</v>
      </c>
    </row>
    <row r="608" spans="3:4" ht="16">
      <c r="C608" s="1594">
        <v>596</v>
      </c>
      <c r="D608" s="1631">
        <v>2719365.4824631587</v>
      </c>
    </row>
    <row r="609" spans="3:4" ht="16">
      <c r="C609" s="1594">
        <v>597</v>
      </c>
      <c r="D609" s="1631">
        <v>2719365.4824631587</v>
      </c>
    </row>
    <row r="610" spans="3:4" ht="16">
      <c r="C610" s="1594">
        <v>598</v>
      </c>
      <c r="D610" s="1631">
        <v>2719365.4824631587</v>
      </c>
    </row>
    <row r="611" spans="3:4" ht="16">
      <c r="C611" s="1594">
        <v>599</v>
      </c>
      <c r="D611" s="1631">
        <v>2719365.4824631587</v>
      </c>
    </row>
    <row r="612" spans="3:4" ht="16">
      <c r="C612" s="1594">
        <v>600</v>
      </c>
      <c r="D612" s="1631">
        <v>2719365.4824631587</v>
      </c>
    </row>
    <row r="613" spans="3:4" ht="16">
      <c r="C613" s="1594">
        <v>601</v>
      </c>
      <c r="D613" s="1631">
        <v>2719365.4824631587</v>
      </c>
    </row>
    <row r="614" spans="3:4" ht="16">
      <c r="C614" s="1594">
        <v>602</v>
      </c>
      <c r="D614" s="1631">
        <v>2719365.4824631587</v>
      </c>
    </row>
    <row r="615" spans="3:4" ht="16">
      <c r="C615" s="1594">
        <v>603</v>
      </c>
      <c r="D615" s="1631">
        <v>2719365.4824631587</v>
      </c>
    </row>
    <row r="616" spans="3:4" ht="16">
      <c r="C616" s="1594">
        <v>604</v>
      </c>
      <c r="D616" s="1631">
        <v>2719365.4824631587</v>
      </c>
    </row>
    <row r="617" spans="3:4" ht="16">
      <c r="C617" s="1594">
        <v>605</v>
      </c>
      <c r="D617" s="1631">
        <v>2719365.4824631587</v>
      </c>
    </row>
    <row r="618" spans="3:4" ht="16">
      <c r="C618" s="1594">
        <v>606</v>
      </c>
      <c r="D618" s="1631">
        <v>2719365.4824631587</v>
      </c>
    </row>
    <row r="619" spans="3:4" ht="16">
      <c r="C619" s="1594">
        <v>607</v>
      </c>
      <c r="D619" s="1631">
        <v>2719365.4824631587</v>
      </c>
    </row>
    <row r="620" spans="3:4" ht="16">
      <c r="C620" s="1594">
        <v>608</v>
      </c>
      <c r="D620" s="1631">
        <v>2719365.4824631587</v>
      </c>
    </row>
    <row r="621" spans="3:4" ht="16">
      <c r="C621" s="1594">
        <v>609</v>
      </c>
      <c r="D621" s="1631">
        <v>2719365.4824631587</v>
      </c>
    </row>
    <row r="622" spans="3:4" ht="16">
      <c r="C622" s="1594">
        <v>610</v>
      </c>
      <c r="D622" s="1631">
        <v>2719365.4824631587</v>
      </c>
    </row>
    <row r="623" spans="3:4" ht="16">
      <c r="C623" s="1594">
        <v>611</v>
      </c>
      <c r="D623" s="1631">
        <v>2719365.4824631587</v>
      </c>
    </row>
    <row r="624" spans="3:4" ht="16">
      <c r="C624" s="1594">
        <v>612</v>
      </c>
      <c r="D624" s="1631">
        <v>2719365.4824631587</v>
      </c>
    </row>
    <row r="625" spans="3:4" ht="16">
      <c r="C625" s="1594">
        <v>613</v>
      </c>
      <c r="D625" s="1631">
        <v>2719365.4824631587</v>
      </c>
    </row>
    <row r="626" spans="3:4" ht="16">
      <c r="C626" s="1594">
        <v>614</v>
      </c>
      <c r="D626" s="1631">
        <v>2719365.4824631587</v>
      </c>
    </row>
    <row r="627" spans="3:4" ht="16">
      <c r="C627" s="1594">
        <v>615</v>
      </c>
      <c r="D627" s="1631">
        <v>2719365.4824631587</v>
      </c>
    </row>
    <row r="628" spans="3:4" ht="16">
      <c r="C628" s="1594">
        <v>616</v>
      </c>
      <c r="D628" s="1631">
        <v>2719365.4824631587</v>
      </c>
    </row>
    <row r="629" spans="3:4" ht="16">
      <c r="C629" s="1594">
        <v>617</v>
      </c>
      <c r="D629" s="1631">
        <v>2719365.4824631587</v>
      </c>
    </row>
    <row r="630" spans="3:4" ht="16">
      <c r="C630" s="1594">
        <v>618</v>
      </c>
      <c r="D630" s="1631">
        <v>2719365.4824631587</v>
      </c>
    </row>
    <row r="631" spans="3:4" ht="16">
      <c r="C631" s="1594">
        <v>619</v>
      </c>
      <c r="D631" s="1631">
        <v>2719365.4824631587</v>
      </c>
    </row>
    <row r="632" spans="3:4" ht="16">
      <c r="C632" s="1594">
        <v>620</v>
      </c>
      <c r="D632" s="1631">
        <v>2719365.4824631587</v>
      </c>
    </row>
    <row r="633" spans="3:4" ht="16">
      <c r="C633" s="1594">
        <v>621</v>
      </c>
      <c r="D633" s="1631">
        <v>2719365.4824631587</v>
      </c>
    </row>
    <row r="634" spans="3:4" ht="16">
      <c r="C634" s="1594">
        <v>622</v>
      </c>
      <c r="D634" s="1631">
        <v>2719365.4824631587</v>
      </c>
    </row>
    <row r="635" spans="3:4" ht="16">
      <c r="C635" s="1594">
        <v>623</v>
      </c>
      <c r="D635" s="1631">
        <v>2719365.4824631587</v>
      </c>
    </row>
    <row r="636" spans="3:4" ht="16">
      <c r="C636" s="1594">
        <v>624</v>
      </c>
      <c r="D636" s="1631">
        <v>2719365.4824631587</v>
      </c>
    </row>
    <row r="637" spans="3:4" ht="16">
      <c r="C637" s="1594">
        <v>625</v>
      </c>
      <c r="D637" s="1631">
        <v>2719365.4824631587</v>
      </c>
    </row>
    <row r="638" spans="3:4" ht="16">
      <c r="C638" s="1594">
        <v>626</v>
      </c>
      <c r="D638" s="1631">
        <v>2719365.4824631587</v>
      </c>
    </row>
    <row r="639" spans="3:4" ht="16">
      <c r="C639" s="1594">
        <v>627</v>
      </c>
      <c r="D639" s="1631">
        <v>2719365.4824631587</v>
      </c>
    </row>
    <row r="640" spans="3:4" ht="16">
      <c r="C640" s="1594">
        <v>628</v>
      </c>
      <c r="D640" s="1631">
        <v>2719365.4824631587</v>
      </c>
    </row>
    <row r="641" spans="3:4" ht="16">
      <c r="C641" s="1594">
        <v>629</v>
      </c>
      <c r="D641" s="1631">
        <v>2719365.4824631587</v>
      </c>
    </row>
    <row r="642" spans="3:4" ht="16">
      <c r="C642" s="1594">
        <v>630</v>
      </c>
      <c r="D642" s="1631">
        <v>2719365.4824631587</v>
      </c>
    </row>
    <row r="643" spans="3:4" ht="16">
      <c r="C643" s="1594">
        <v>631</v>
      </c>
      <c r="D643" s="1631">
        <v>2719365.4824631587</v>
      </c>
    </row>
    <row r="644" spans="3:4" ht="16">
      <c r="C644" s="1594">
        <v>632</v>
      </c>
      <c r="D644" s="1631">
        <v>2719365.4824631587</v>
      </c>
    </row>
    <row r="645" spans="3:4" ht="16">
      <c r="C645" s="1594">
        <v>633</v>
      </c>
      <c r="D645" s="1631">
        <v>2719365.4824631587</v>
      </c>
    </row>
    <row r="646" spans="3:4" ht="16">
      <c r="C646" s="1594">
        <v>634</v>
      </c>
      <c r="D646" s="1631">
        <v>2719365.4824631587</v>
      </c>
    </row>
    <row r="647" spans="3:4" ht="16">
      <c r="C647" s="1594">
        <v>635</v>
      </c>
      <c r="D647" s="1631">
        <v>2719365.4824631587</v>
      </c>
    </row>
    <row r="648" spans="3:4" ht="16">
      <c r="C648" s="1594">
        <v>636</v>
      </c>
      <c r="D648" s="1631">
        <v>2719365.4824631587</v>
      </c>
    </row>
    <row r="649" spans="3:4" ht="16">
      <c r="C649" s="1594">
        <v>637</v>
      </c>
      <c r="D649" s="1631">
        <v>2719365.4824631587</v>
      </c>
    </row>
    <row r="650" spans="3:4" ht="16">
      <c r="C650" s="1594">
        <v>638</v>
      </c>
      <c r="D650" s="1631">
        <v>2719365.4824631587</v>
      </c>
    </row>
    <row r="651" spans="3:4" ht="16">
      <c r="C651" s="1594">
        <v>639</v>
      </c>
      <c r="D651" s="1631">
        <v>2719365.4824631587</v>
      </c>
    </row>
    <row r="652" spans="3:4" ht="16">
      <c r="C652" s="1594">
        <v>640</v>
      </c>
      <c r="D652" s="1631">
        <v>2719365.4824631587</v>
      </c>
    </row>
    <row r="653" spans="3:4" ht="16">
      <c r="C653" s="1594">
        <v>641</v>
      </c>
      <c r="D653" s="1631">
        <v>2719365.4824631587</v>
      </c>
    </row>
    <row r="654" spans="3:4" ht="16">
      <c r="C654" s="1594">
        <v>642</v>
      </c>
      <c r="D654" s="1631">
        <v>2719365.4824631587</v>
      </c>
    </row>
    <row r="655" spans="3:4" ht="16">
      <c r="C655" s="1594">
        <v>643</v>
      </c>
      <c r="D655" s="1631">
        <v>2719365.4824631587</v>
      </c>
    </row>
    <row r="656" spans="3:4" ht="16">
      <c r="C656" s="1594">
        <v>644</v>
      </c>
      <c r="D656" s="1631">
        <v>2719365.4824631587</v>
      </c>
    </row>
    <row r="657" spans="3:4" ht="16">
      <c r="C657" s="1594">
        <v>645</v>
      </c>
      <c r="D657" s="1631">
        <v>2719365.4824631587</v>
      </c>
    </row>
    <row r="658" spans="3:4" ht="16">
      <c r="C658" s="1594">
        <v>646</v>
      </c>
      <c r="D658" s="1631">
        <v>2719365.4824631587</v>
      </c>
    </row>
    <row r="659" spans="3:4" ht="16">
      <c r="C659" s="1594">
        <v>647</v>
      </c>
      <c r="D659" s="1631">
        <v>2719365.4824631587</v>
      </c>
    </row>
    <row r="660" spans="3:4" ht="16">
      <c r="C660" s="1594">
        <v>648</v>
      </c>
      <c r="D660" s="1631">
        <v>2719365.4824631587</v>
      </c>
    </row>
    <row r="661" spans="3:4" ht="16">
      <c r="C661" s="1594">
        <v>649</v>
      </c>
      <c r="D661" s="1631">
        <v>2719365.4824631587</v>
      </c>
    </row>
    <row r="662" spans="3:4" ht="16">
      <c r="C662" s="1594">
        <v>650</v>
      </c>
      <c r="D662" s="1631">
        <v>2719365.4824631587</v>
      </c>
    </row>
    <row r="663" spans="3:4" ht="16">
      <c r="C663" s="1594">
        <v>651</v>
      </c>
      <c r="D663" s="1631">
        <v>2719365.4824631587</v>
      </c>
    </row>
    <row r="664" spans="3:4" ht="16">
      <c r="C664" s="1594">
        <v>652</v>
      </c>
      <c r="D664" s="1631">
        <v>2719365.4824631587</v>
      </c>
    </row>
    <row r="665" spans="3:4" ht="16">
      <c r="C665" s="1594">
        <v>653</v>
      </c>
      <c r="D665" s="1631">
        <v>2719365.4824631587</v>
      </c>
    </row>
    <row r="666" spans="3:4" ht="16">
      <c r="C666" s="1594">
        <v>654</v>
      </c>
      <c r="D666" s="1631">
        <v>2719365.4824631587</v>
      </c>
    </row>
    <row r="667" spans="3:4" ht="16">
      <c r="C667" s="1594">
        <v>655</v>
      </c>
      <c r="D667" s="1631">
        <v>2719365.4824631587</v>
      </c>
    </row>
    <row r="668" spans="3:4" ht="16">
      <c r="C668" s="1594">
        <v>656</v>
      </c>
      <c r="D668" s="1631">
        <v>2719365.4824631587</v>
      </c>
    </row>
    <row r="669" spans="3:4" ht="16">
      <c r="C669" s="1594">
        <v>657</v>
      </c>
      <c r="D669" s="1631">
        <v>2719365.4824631587</v>
      </c>
    </row>
    <row r="670" spans="3:4" ht="16">
      <c r="C670" s="1594">
        <v>658</v>
      </c>
      <c r="D670" s="1631">
        <v>2719365.4824631587</v>
      </c>
    </row>
    <row r="671" spans="3:4" ht="16">
      <c r="C671" s="1594">
        <v>659</v>
      </c>
      <c r="D671" s="1631">
        <v>2719365.4824631587</v>
      </c>
    </row>
    <row r="672" spans="3:4" ht="16">
      <c r="C672" s="1594">
        <v>660</v>
      </c>
      <c r="D672" s="1631">
        <v>2719365.4824631587</v>
      </c>
    </row>
    <row r="673" spans="3:4" ht="16">
      <c r="C673" s="1594">
        <v>661</v>
      </c>
      <c r="D673" s="1631">
        <v>2719365.4824631587</v>
      </c>
    </row>
    <row r="674" spans="3:4" ht="16">
      <c r="C674" s="1594">
        <v>662</v>
      </c>
      <c r="D674" s="1631">
        <v>2719365.4824631587</v>
      </c>
    </row>
    <row r="675" spans="3:4" ht="16">
      <c r="C675" s="1594">
        <v>663</v>
      </c>
      <c r="D675" s="1631">
        <v>2719365.4824631587</v>
      </c>
    </row>
    <row r="676" spans="3:4" ht="16">
      <c r="C676" s="1594">
        <v>664</v>
      </c>
      <c r="D676" s="1631">
        <v>2719365.4824631587</v>
      </c>
    </row>
    <row r="677" spans="3:4" ht="16">
      <c r="C677" s="1594">
        <v>665</v>
      </c>
      <c r="D677" s="1631">
        <v>2719365.4824631587</v>
      </c>
    </row>
    <row r="678" spans="3:4" ht="16">
      <c r="C678" s="1594">
        <v>666</v>
      </c>
      <c r="D678" s="1631">
        <v>2719365.4824631587</v>
      </c>
    </row>
    <row r="679" spans="3:4" ht="16">
      <c r="C679" s="1594">
        <v>667</v>
      </c>
      <c r="D679" s="1631">
        <v>2719365.4824631587</v>
      </c>
    </row>
    <row r="680" spans="3:4" ht="16">
      <c r="C680" s="1594">
        <v>668</v>
      </c>
      <c r="D680" s="1631">
        <v>2719365.4824631587</v>
      </c>
    </row>
    <row r="681" spans="3:4" ht="16">
      <c r="C681" s="1594">
        <v>669</v>
      </c>
      <c r="D681" s="1631">
        <v>2719365.4824631587</v>
      </c>
    </row>
    <row r="682" spans="3:4" ht="16">
      <c r="C682" s="1594">
        <v>670</v>
      </c>
      <c r="D682" s="1631">
        <v>2719365.4824631587</v>
      </c>
    </row>
    <row r="683" spans="3:4" ht="16">
      <c r="C683" s="1594">
        <v>671</v>
      </c>
      <c r="D683" s="1631">
        <v>2719365.4824631587</v>
      </c>
    </row>
    <row r="684" spans="3:4" ht="16">
      <c r="C684" s="1594">
        <v>672</v>
      </c>
      <c r="D684" s="1631">
        <v>2719365.4824631587</v>
      </c>
    </row>
    <row r="685" spans="3:4" ht="16">
      <c r="C685" s="1594">
        <v>673</v>
      </c>
      <c r="D685" s="1631">
        <v>2719365.4824631587</v>
      </c>
    </row>
    <row r="686" spans="3:4" ht="16">
      <c r="C686" s="1594">
        <v>674</v>
      </c>
      <c r="D686" s="1631">
        <v>2719365.4824631587</v>
      </c>
    </row>
    <row r="687" spans="3:4" ht="16">
      <c r="C687" s="1594">
        <v>675</v>
      </c>
      <c r="D687" s="1631">
        <v>2719365.4824631587</v>
      </c>
    </row>
    <row r="688" spans="3:4" ht="16">
      <c r="C688" s="1594">
        <v>676</v>
      </c>
      <c r="D688" s="1631">
        <v>2719365.4824631587</v>
      </c>
    </row>
    <row r="689" spans="3:4" ht="16">
      <c r="C689" s="1594">
        <v>677</v>
      </c>
      <c r="D689" s="1631">
        <v>2719365.4824631587</v>
      </c>
    </row>
    <row r="690" spans="3:4" ht="16">
      <c r="C690" s="1594">
        <v>678</v>
      </c>
      <c r="D690" s="1631">
        <v>2719365.4824631587</v>
      </c>
    </row>
    <row r="691" spans="3:4" ht="16">
      <c r="C691" s="1594">
        <v>679</v>
      </c>
      <c r="D691" s="1631">
        <v>2719365.4824631587</v>
      </c>
    </row>
    <row r="692" spans="3:4" ht="16">
      <c r="C692" s="1594">
        <v>680</v>
      </c>
      <c r="D692" s="1631">
        <v>2719365.4824631587</v>
      </c>
    </row>
    <row r="693" spans="3:4" ht="16">
      <c r="C693" s="1594">
        <v>681</v>
      </c>
      <c r="D693" s="1631">
        <v>2719365.4824631587</v>
      </c>
    </row>
    <row r="694" spans="3:4" ht="16">
      <c r="C694" s="1594">
        <v>682</v>
      </c>
      <c r="D694" s="1631">
        <v>2719365.4824631587</v>
      </c>
    </row>
    <row r="695" spans="3:4" ht="16">
      <c r="C695" s="1594">
        <v>683</v>
      </c>
      <c r="D695" s="1631">
        <v>2719365.4824631587</v>
      </c>
    </row>
    <row r="696" spans="3:4" ht="16">
      <c r="C696" s="1594">
        <v>684</v>
      </c>
      <c r="D696" s="1631">
        <v>2719365.4824631587</v>
      </c>
    </row>
    <row r="697" spans="3:4" ht="16">
      <c r="C697" s="1594">
        <v>685</v>
      </c>
      <c r="D697" s="1631">
        <v>2719365.4824631587</v>
      </c>
    </row>
    <row r="698" spans="3:4" ht="16">
      <c r="C698" s="1594">
        <v>686</v>
      </c>
      <c r="D698" s="1631">
        <v>2719365.4824631587</v>
      </c>
    </row>
    <row r="699" spans="3:4" ht="16">
      <c r="C699" s="1594">
        <v>687</v>
      </c>
      <c r="D699" s="1631">
        <v>2719365.4824631587</v>
      </c>
    </row>
    <row r="700" spans="3:4" ht="16">
      <c r="C700" s="1594">
        <v>688</v>
      </c>
      <c r="D700" s="1631">
        <v>2719365.4824631587</v>
      </c>
    </row>
    <row r="701" spans="3:4" ht="16">
      <c r="C701" s="1594">
        <v>689</v>
      </c>
      <c r="D701" s="1631">
        <v>2719365.4824631587</v>
      </c>
    </row>
    <row r="702" spans="3:4" ht="16">
      <c r="C702" s="1594">
        <v>690</v>
      </c>
      <c r="D702" s="1631">
        <v>2719365.4824631587</v>
      </c>
    </row>
    <row r="703" spans="3:4" ht="16">
      <c r="C703" s="1594">
        <v>691</v>
      </c>
      <c r="D703" s="1631">
        <v>2719365.4824631587</v>
      </c>
    </row>
    <row r="704" spans="3:4" ht="16">
      <c r="C704" s="1594">
        <v>692</v>
      </c>
      <c r="D704" s="1631">
        <v>2719365.4824631587</v>
      </c>
    </row>
    <row r="705" spans="3:4" ht="16">
      <c r="C705" s="1594">
        <v>693</v>
      </c>
      <c r="D705" s="1631">
        <v>2719365.4824631587</v>
      </c>
    </row>
    <row r="706" spans="3:4" ht="16">
      <c r="C706" s="1594">
        <v>694</v>
      </c>
      <c r="D706" s="1631">
        <v>2719365.4824631587</v>
      </c>
    </row>
    <row r="707" spans="3:4" ht="16">
      <c r="C707" s="1594">
        <v>695</v>
      </c>
      <c r="D707" s="1631">
        <v>2719365.4824631587</v>
      </c>
    </row>
    <row r="708" spans="3:4" ht="16">
      <c r="C708" s="1594">
        <v>696</v>
      </c>
      <c r="D708" s="1631">
        <v>2719365.4824631587</v>
      </c>
    </row>
    <row r="709" spans="3:4" ht="16">
      <c r="C709" s="1594">
        <v>697</v>
      </c>
      <c r="D709" s="1631">
        <v>2719365.4824631587</v>
      </c>
    </row>
    <row r="710" spans="3:4" ht="16">
      <c r="C710" s="1594">
        <v>698</v>
      </c>
      <c r="D710" s="1631">
        <v>2719365.4824631587</v>
      </c>
    </row>
    <row r="711" spans="3:4" ht="16">
      <c r="C711" s="1594">
        <v>699</v>
      </c>
      <c r="D711" s="1631">
        <v>2719365.4824631587</v>
      </c>
    </row>
    <row r="712" spans="3:4" ht="16">
      <c r="C712" s="1594">
        <v>700</v>
      </c>
      <c r="D712" s="1631">
        <v>2719365.4824631587</v>
      </c>
    </row>
    <row r="713" spans="3:4" ht="16">
      <c r="C713" s="1594">
        <v>701</v>
      </c>
      <c r="D713" s="1631">
        <v>2719365.4824631587</v>
      </c>
    </row>
    <row r="714" spans="3:4" ht="16">
      <c r="C714" s="1594">
        <v>702</v>
      </c>
      <c r="D714" s="1631">
        <v>2719365.4824631587</v>
      </c>
    </row>
    <row r="715" spans="3:4" ht="16">
      <c r="C715" s="1594">
        <v>703</v>
      </c>
      <c r="D715" s="1631">
        <v>2719365.4824631587</v>
      </c>
    </row>
    <row r="716" spans="3:4" ht="16">
      <c r="C716" s="1594">
        <v>704</v>
      </c>
      <c r="D716" s="1631">
        <v>2719365.4824631587</v>
      </c>
    </row>
    <row r="717" spans="3:4" ht="16">
      <c r="C717" s="1594">
        <v>705</v>
      </c>
      <c r="D717" s="1631">
        <v>2719365.4824631587</v>
      </c>
    </row>
    <row r="718" spans="3:4" ht="16">
      <c r="C718" s="1594">
        <v>706</v>
      </c>
      <c r="D718" s="1631">
        <v>2719365.4824631587</v>
      </c>
    </row>
    <row r="719" spans="3:4" ht="16">
      <c r="C719" s="1594">
        <v>707</v>
      </c>
      <c r="D719" s="1631">
        <v>2719365.4824631587</v>
      </c>
    </row>
    <row r="720" spans="3:4" ht="16">
      <c r="C720" s="1594">
        <v>708</v>
      </c>
      <c r="D720" s="1631">
        <v>2719365.4824631587</v>
      </c>
    </row>
    <row r="721" spans="3:4" ht="16">
      <c r="C721" s="1594">
        <v>709</v>
      </c>
      <c r="D721" s="1631">
        <v>2719365.4824631587</v>
      </c>
    </row>
    <row r="722" spans="3:4" ht="16">
      <c r="C722" s="1594">
        <v>710</v>
      </c>
      <c r="D722" s="1631">
        <v>2719365.4824631587</v>
      </c>
    </row>
    <row r="723" spans="3:4" ht="16">
      <c r="C723" s="1594">
        <v>711</v>
      </c>
      <c r="D723" s="1631">
        <v>2719365.4824631587</v>
      </c>
    </row>
    <row r="724" spans="3:4" ht="16">
      <c r="C724" s="1594">
        <v>712</v>
      </c>
      <c r="D724" s="1631">
        <v>2719365.4824631587</v>
      </c>
    </row>
    <row r="725" spans="3:4" ht="16">
      <c r="C725" s="1594">
        <v>713</v>
      </c>
      <c r="D725" s="1631">
        <v>2719365.4824631587</v>
      </c>
    </row>
    <row r="726" spans="3:4" ht="16">
      <c r="C726" s="1594">
        <v>714</v>
      </c>
      <c r="D726" s="1631">
        <v>2719365.4824631587</v>
      </c>
    </row>
    <row r="727" spans="3:4" ht="16">
      <c r="C727" s="1594">
        <v>715</v>
      </c>
      <c r="D727" s="1631">
        <v>2719365.4824631587</v>
      </c>
    </row>
    <row r="728" spans="3:4" ht="16">
      <c r="C728" s="1594">
        <v>716</v>
      </c>
      <c r="D728" s="1631">
        <v>2719365.4824631587</v>
      </c>
    </row>
    <row r="729" spans="3:4" ht="16">
      <c r="C729" s="1594">
        <v>717</v>
      </c>
      <c r="D729" s="1631">
        <v>2719365.4824631587</v>
      </c>
    </row>
    <row r="730" spans="3:4" ht="16">
      <c r="C730" s="1594">
        <v>718</v>
      </c>
      <c r="D730" s="1631">
        <v>2719365.4824631587</v>
      </c>
    </row>
    <row r="731" spans="3:4" ht="16">
      <c r="C731" s="1594">
        <v>719</v>
      </c>
      <c r="D731" s="1631">
        <v>2719365.4824631587</v>
      </c>
    </row>
    <row r="732" spans="3:4" ht="16">
      <c r="C732" s="1594">
        <v>720</v>
      </c>
      <c r="D732" s="1631">
        <v>2719365.4824631587</v>
      </c>
    </row>
    <row r="733" spans="3:4" ht="16">
      <c r="C733" s="1594">
        <v>721</v>
      </c>
      <c r="D733" s="1631">
        <v>2719365.4824631587</v>
      </c>
    </row>
    <row r="734" spans="3:4" ht="16">
      <c r="C734" s="1594">
        <v>722</v>
      </c>
      <c r="D734" s="1631">
        <v>2719365.4824631587</v>
      </c>
    </row>
    <row r="735" spans="3:4" ht="16">
      <c r="C735" s="1594">
        <v>723</v>
      </c>
      <c r="D735" s="1631">
        <v>2719365.4824631587</v>
      </c>
    </row>
    <row r="736" spans="3:4" ht="16">
      <c r="C736" s="1594">
        <v>724</v>
      </c>
      <c r="D736" s="1631">
        <v>2719365.4824631587</v>
      </c>
    </row>
    <row r="737" spans="3:4" ht="16">
      <c r="C737" s="1594">
        <v>725</v>
      </c>
      <c r="D737" s="1631">
        <v>2719365.4824631587</v>
      </c>
    </row>
    <row r="738" spans="3:4" ht="16">
      <c r="C738" s="1594">
        <v>726</v>
      </c>
      <c r="D738" s="1631">
        <v>2719365.4824631587</v>
      </c>
    </row>
    <row r="739" spans="3:4" ht="16">
      <c r="C739" s="1594">
        <v>727</v>
      </c>
      <c r="D739" s="1631">
        <v>2719365.4824631587</v>
      </c>
    </row>
    <row r="740" spans="3:4" ht="16">
      <c r="C740" s="1594">
        <v>728</v>
      </c>
      <c r="D740" s="1631">
        <v>2719365.4824631587</v>
      </c>
    </row>
    <row r="741" spans="3:4" ht="16">
      <c r="C741" s="1594">
        <v>729</v>
      </c>
      <c r="D741" s="1631">
        <v>2719365.4824631587</v>
      </c>
    </row>
    <row r="742" spans="3:4" ht="16">
      <c r="C742" s="1594">
        <v>730</v>
      </c>
      <c r="D742" s="1631">
        <v>2719365.4824631587</v>
      </c>
    </row>
    <row r="743" spans="3:4" ht="16">
      <c r="C743" s="1594">
        <v>731</v>
      </c>
      <c r="D743" s="1631">
        <v>2719365.4824631587</v>
      </c>
    </row>
    <row r="744" spans="3:4" ht="16">
      <c r="C744" s="1594">
        <v>732</v>
      </c>
      <c r="D744" s="1631">
        <v>2719365.4824631587</v>
      </c>
    </row>
    <row r="745" spans="3:4" ht="16">
      <c r="C745" s="1594">
        <v>733</v>
      </c>
      <c r="D745" s="1631">
        <v>2719365.4824631587</v>
      </c>
    </row>
    <row r="746" spans="3:4" ht="16">
      <c r="C746" s="1594">
        <v>734</v>
      </c>
      <c r="D746" s="1631">
        <v>2719365.4824631587</v>
      </c>
    </row>
    <row r="747" spans="3:4" ht="16">
      <c r="C747" s="1594">
        <v>735</v>
      </c>
      <c r="D747" s="1631">
        <v>2719365.4824631587</v>
      </c>
    </row>
    <row r="748" spans="3:4" ht="16">
      <c r="C748" s="1594">
        <v>736</v>
      </c>
      <c r="D748" s="1631">
        <v>2719365.4824631587</v>
      </c>
    </row>
    <row r="749" spans="3:4" ht="16">
      <c r="C749" s="1594">
        <v>737</v>
      </c>
      <c r="D749" s="1631">
        <v>2719365.4824631587</v>
      </c>
    </row>
    <row r="750" spans="3:4" ht="16">
      <c r="C750" s="1594">
        <v>738</v>
      </c>
      <c r="D750" s="1631">
        <v>2719365.4824631587</v>
      </c>
    </row>
    <row r="751" spans="3:4" ht="16">
      <c r="C751" s="1594">
        <v>739</v>
      </c>
      <c r="D751" s="1631">
        <v>2719365.4824631587</v>
      </c>
    </row>
    <row r="752" spans="3:4" ht="16">
      <c r="C752" s="1594">
        <v>740</v>
      </c>
      <c r="D752" s="1631">
        <v>2719365.4824631587</v>
      </c>
    </row>
    <row r="753" spans="3:4" ht="16">
      <c r="C753" s="1594">
        <v>741</v>
      </c>
      <c r="D753" s="1631">
        <v>2719365.4824631587</v>
      </c>
    </row>
    <row r="754" spans="3:4" ht="16">
      <c r="C754" s="1594">
        <v>742</v>
      </c>
      <c r="D754" s="1631">
        <v>2719365.4824631587</v>
      </c>
    </row>
    <row r="755" spans="3:4" ht="16">
      <c r="C755" s="1594">
        <v>743</v>
      </c>
      <c r="D755" s="1631">
        <v>2719365.4824631587</v>
      </c>
    </row>
    <row r="756" spans="3:4" ht="16">
      <c r="C756" s="1594">
        <v>744</v>
      </c>
      <c r="D756" s="1631">
        <v>2719365.4824631587</v>
      </c>
    </row>
    <row r="757" spans="3:4" ht="16">
      <c r="C757" s="1594">
        <v>745</v>
      </c>
      <c r="D757" s="1631">
        <v>2719365.4824631587</v>
      </c>
    </row>
    <row r="758" spans="3:4" ht="16">
      <c r="C758" s="1594">
        <v>746</v>
      </c>
      <c r="D758" s="1631">
        <v>2719365.4824631587</v>
      </c>
    </row>
    <row r="759" spans="3:4" ht="16">
      <c r="C759" s="1594">
        <v>747</v>
      </c>
      <c r="D759" s="1631">
        <v>2719365.4824631587</v>
      </c>
    </row>
    <row r="760" spans="3:4" ht="16">
      <c r="C760" s="1594">
        <v>748</v>
      </c>
      <c r="D760" s="1631">
        <v>2719365.4824631587</v>
      </c>
    </row>
    <row r="761" spans="3:4" ht="16">
      <c r="C761" s="1594">
        <v>749</v>
      </c>
      <c r="D761" s="1631">
        <v>2719365.4824631587</v>
      </c>
    </row>
    <row r="762" spans="3:4" ht="16">
      <c r="C762" s="1594">
        <v>750</v>
      </c>
      <c r="D762" s="1631">
        <v>2719365.4824631587</v>
      </c>
    </row>
    <row r="763" spans="3:4" ht="16">
      <c r="C763" s="1594">
        <v>751</v>
      </c>
      <c r="D763" s="1631">
        <v>2719365.4824631587</v>
      </c>
    </row>
    <row r="764" spans="3:4" ht="16">
      <c r="C764" s="1594">
        <v>752</v>
      </c>
      <c r="D764" s="1631">
        <v>2719365.4824631587</v>
      </c>
    </row>
    <row r="765" spans="3:4" ht="16">
      <c r="C765" s="1594">
        <v>753</v>
      </c>
      <c r="D765" s="1631">
        <v>2719365.4824631587</v>
      </c>
    </row>
    <row r="766" spans="3:4" ht="16">
      <c r="C766" s="1594">
        <v>754</v>
      </c>
      <c r="D766" s="1631">
        <v>2719365.4824631587</v>
      </c>
    </row>
    <row r="767" spans="3:4" ht="16">
      <c r="C767" s="1594">
        <v>755</v>
      </c>
      <c r="D767" s="1631">
        <v>2719365.4824631587</v>
      </c>
    </row>
    <row r="768" spans="3:4" ht="16">
      <c r="C768" s="1594">
        <v>756</v>
      </c>
      <c r="D768" s="1631">
        <v>2719365.4824631587</v>
      </c>
    </row>
    <row r="769" spans="3:4" ht="16">
      <c r="C769" s="1594">
        <v>757</v>
      </c>
      <c r="D769" s="1631">
        <v>2719365.4824631587</v>
      </c>
    </row>
    <row r="770" spans="3:4" ht="16">
      <c r="C770" s="1594">
        <v>758</v>
      </c>
      <c r="D770" s="1631">
        <v>2719365.4824631587</v>
      </c>
    </row>
    <row r="771" spans="3:4" ht="16">
      <c r="C771" s="1594">
        <v>759</v>
      </c>
      <c r="D771" s="1631">
        <v>2719365.4824631587</v>
      </c>
    </row>
    <row r="772" spans="3:4" ht="16">
      <c r="C772" s="1594">
        <v>760</v>
      </c>
      <c r="D772" s="1631">
        <v>2719365.4824631587</v>
      </c>
    </row>
    <row r="773" spans="3:4" ht="16">
      <c r="C773" s="1594">
        <v>761</v>
      </c>
      <c r="D773" s="1631">
        <v>2719365.4824631587</v>
      </c>
    </row>
    <row r="774" spans="3:4" ht="16">
      <c r="C774" s="1594">
        <v>762</v>
      </c>
      <c r="D774" s="1631">
        <v>2719365.4824631587</v>
      </c>
    </row>
    <row r="775" spans="3:4" ht="16">
      <c r="C775" s="1594">
        <v>763</v>
      </c>
      <c r="D775" s="1631">
        <v>2719365.4824631587</v>
      </c>
    </row>
    <row r="776" spans="3:4" ht="16">
      <c r="C776" s="1594">
        <v>764</v>
      </c>
      <c r="D776" s="1631">
        <v>2719365.4824631587</v>
      </c>
    </row>
    <row r="777" spans="3:4" ht="16">
      <c r="C777" s="1594">
        <v>765</v>
      </c>
      <c r="D777" s="1631">
        <v>2719365.4824631587</v>
      </c>
    </row>
    <row r="778" spans="3:4" ht="16">
      <c r="C778" s="1594">
        <v>766</v>
      </c>
      <c r="D778" s="1631">
        <v>2719365.4824631587</v>
      </c>
    </row>
    <row r="779" spans="3:4" ht="16">
      <c r="C779" s="1594">
        <v>767</v>
      </c>
      <c r="D779" s="1631">
        <v>2719365.4824631587</v>
      </c>
    </row>
    <row r="780" spans="3:4" ht="16">
      <c r="C780" s="1594">
        <v>768</v>
      </c>
      <c r="D780" s="1631">
        <v>2719365.4824631587</v>
      </c>
    </row>
    <row r="781" spans="3:4" ht="16">
      <c r="C781" s="1594">
        <v>769</v>
      </c>
      <c r="D781" s="1631">
        <v>2719365.4824631587</v>
      </c>
    </row>
    <row r="782" spans="3:4" ht="16">
      <c r="C782" s="1594">
        <v>770</v>
      </c>
      <c r="D782" s="1631">
        <v>2719365.4824631587</v>
      </c>
    </row>
    <row r="783" spans="3:4" ht="16">
      <c r="C783" s="1594">
        <v>771</v>
      </c>
      <c r="D783" s="1631">
        <v>2719365.4824631587</v>
      </c>
    </row>
    <row r="784" spans="3:4" ht="16">
      <c r="C784" s="1594">
        <v>772</v>
      </c>
      <c r="D784" s="1631">
        <v>2719365.4824631587</v>
      </c>
    </row>
    <row r="785" spans="3:4" ht="16">
      <c r="C785" s="1594">
        <v>773</v>
      </c>
      <c r="D785" s="1631">
        <v>2719365.4824631587</v>
      </c>
    </row>
    <row r="786" spans="3:4" ht="16">
      <c r="C786" s="1594">
        <v>774</v>
      </c>
      <c r="D786" s="1631">
        <v>2719365.4824631587</v>
      </c>
    </row>
    <row r="787" spans="3:4" ht="16">
      <c r="C787" s="1594">
        <v>775</v>
      </c>
      <c r="D787" s="1631">
        <v>2719365.4824631587</v>
      </c>
    </row>
    <row r="788" spans="3:4" ht="16">
      <c r="C788" s="1594">
        <v>776</v>
      </c>
      <c r="D788" s="1631">
        <v>2719365.4824631587</v>
      </c>
    </row>
    <row r="789" spans="3:4" ht="16">
      <c r="C789" s="1594">
        <v>777</v>
      </c>
      <c r="D789" s="1631">
        <v>2719365.4824631587</v>
      </c>
    </row>
    <row r="790" spans="3:4" ht="16">
      <c r="C790" s="1594">
        <v>778</v>
      </c>
      <c r="D790" s="1631">
        <v>2719365.4824631587</v>
      </c>
    </row>
    <row r="791" spans="3:4" ht="16">
      <c r="C791" s="1594">
        <v>779</v>
      </c>
      <c r="D791" s="1631">
        <v>2719365.4824631587</v>
      </c>
    </row>
    <row r="792" spans="3:4" ht="16">
      <c r="C792" s="1594">
        <v>780</v>
      </c>
      <c r="D792" s="1631">
        <v>2719365.4824631587</v>
      </c>
    </row>
    <row r="793" spans="3:4" ht="16">
      <c r="C793" s="1594">
        <v>781</v>
      </c>
      <c r="D793" s="1631">
        <v>2719365.4824631587</v>
      </c>
    </row>
    <row r="794" spans="3:4" ht="16">
      <c r="C794" s="1594">
        <v>782</v>
      </c>
      <c r="D794" s="1631">
        <v>2719365.4824631587</v>
      </c>
    </row>
    <row r="795" spans="3:4" ht="16">
      <c r="C795" s="1594">
        <v>783</v>
      </c>
      <c r="D795" s="1631">
        <v>2719365.4824631587</v>
      </c>
    </row>
    <row r="796" spans="3:4" ht="16">
      <c r="C796" s="1594">
        <v>784</v>
      </c>
      <c r="D796" s="1631">
        <v>2719365.4824631587</v>
      </c>
    </row>
    <row r="797" spans="3:4" ht="16">
      <c r="C797" s="1594">
        <v>785</v>
      </c>
      <c r="D797" s="1631">
        <v>2719365.4824631587</v>
      </c>
    </row>
    <row r="798" spans="3:4" ht="16">
      <c r="C798" s="1594">
        <v>786</v>
      </c>
      <c r="D798" s="1631">
        <v>2719365.4824631587</v>
      </c>
    </row>
    <row r="799" spans="3:4" ht="16">
      <c r="C799" s="1594">
        <v>787</v>
      </c>
      <c r="D799" s="1631">
        <v>2719365.4824631587</v>
      </c>
    </row>
    <row r="800" spans="3:4" ht="16">
      <c r="C800" s="1594">
        <v>788</v>
      </c>
      <c r="D800" s="1631">
        <v>2719365.4824631587</v>
      </c>
    </row>
    <row r="801" spans="3:4" ht="16">
      <c r="C801" s="1594">
        <v>789</v>
      </c>
      <c r="D801" s="1631">
        <v>2719365.4824631587</v>
      </c>
    </row>
    <row r="802" spans="3:4" ht="16">
      <c r="C802" s="1594">
        <v>790</v>
      </c>
      <c r="D802" s="1631">
        <v>2719365.4824631587</v>
      </c>
    </row>
    <row r="803" spans="3:4" ht="16">
      <c r="C803" s="1594">
        <v>791</v>
      </c>
      <c r="D803" s="1631">
        <v>2719365.4824631587</v>
      </c>
    </row>
    <row r="804" spans="3:4" ht="16">
      <c r="C804" s="1594">
        <v>792</v>
      </c>
      <c r="D804" s="1631">
        <v>2719365.4824631587</v>
      </c>
    </row>
    <row r="805" spans="3:4" ht="16">
      <c r="C805" s="1594">
        <v>793</v>
      </c>
      <c r="D805" s="1631">
        <v>2719365.4824631587</v>
      </c>
    </row>
    <row r="806" spans="3:4" ht="16">
      <c r="C806" s="1594">
        <v>794</v>
      </c>
      <c r="D806" s="1631">
        <v>2719365.4824631587</v>
      </c>
    </row>
    <row r="807" spans="3:4" ht="16">
      <c r="C807" s="1594">
        <v>795</v>
      </c>
      <c r="D807" s="1631">
        <v>2719365.4824631587</v>
      </c>
    </row>
    <row r="808" spans="3:4" ht="16">
      <c r="C808" s="1594">
        <v>796</v>
      </c>
      <c r="D808" s="1631">
        <v>2719365.4824631587</v>
      </c>
    </row>
    <row r="809" spans="3:4" ht="16">
      <c r="C809" s="1594">
        <v>797</v>
      </c>
      <c r="D809" s="1631">
        <v>2719365.4824631587</v>
      </c>
    </row>
    <row r="810" spans="3:4" ht="16">
      <c r="C810" s="1594">
        <v>798</v>
      </c>
      <c r="D810" s="1631">
        <v>2719365.4824631587</v>
      </c>
    </row>
    <row r="811" spans="3:4" ht="16">
      <c r="C811" s="1594">
        <v>799</v>
      </c>
      <c r="D811" s="1631">
        <v>2719365.4824631587</v>
      </c>
    </row>
    <row r="812" spans="3:4" ht="16">
      <c r="C812" s="1594">
        <v>800</v>
      </c>
      <c r="D812" s="1631">
        <v>2719365.4824631587</v>
      </c>
    </row>
    <row r="813" spans="3:4" ht="16">
      <c r="C813" s="1594">
        <v>801</v>
      </c>
      <c r="D813" s="1631">
        <v>2719365.4824631587</v>
      </c>
    </row>
    <row r="814" spans="3:4" ht="16">
      <c r="C814" s="1594">
        <v>802</v>
      </c>
      <c r="D814" s="1631">
        <v>2719365.4824631587</v>
      </c>
    </row>
    <row r="815" spans="3:4" ht="16">
      <c r="C815" s="1594">
        <v>803</v>
      </c>
      <c r="D815" s="1631">
        <v>2719365.4824631587</v>
      </c>
    </row>
    <row r="816" spans="3:4" ht="16">
      <c r="C816" s="1594">
        <v>804</v>
      </c>
      <c r="D816" s="1631">
        <v>2719365.4824631587</v>
      </c>
    </row>
    <row r="817" spans="3:4" ht="16">
      <c r="C817" s="1594">
        <v>805</v>
      </c>
      <c r="D817" s="1631">
        <v>2719365.4824631587</v>
      </c>
    </row>
    <row r="818" spans="3:4" ht="16">
      <c r="C818" s="1594">
        <v>806</v>
      </c>
      <c r="D818" s="1631">
        <v>2719365.4824631587</v>
      </c>
    </row>
    <row r="819" spans="3:4" ht="16">
      <c r="C819" s="1594">
        <v>807</v>
      </c>
      <c r="D819" s="1631">
        <v>2719365.4824631587</v>
      </c>
    </row>
    <row r="820" spans="3:4" ht="16">
      <c r="C820" s="1594">
        <v>808</v>
      </c>
      <c r="D820" s="1631">
        <v>2719365.4824631587</v>
      </c>
    </row>
    <row r="821" spans="3:4" ht="16">
      <c r="C821" s="1594">
        <v>809</v>
      </c>
      <c r="D821" s="1631">
        <v>2719365.4824631587</v>
      </c>
    </row>
    <row r="822" spans="3:4" ht="16">
      <c r="C822" s="1594">
        <v>810</v>
      </c>
      <c r="D822" s="1631">
        <v>2719365.4824631587</v>
      </c>
    </row>
    <row r="823" spans="3:4" ht="16">
      <c r="C823" s="1594">
        <v>811</v>
      </c>
      <c r="D823" s="1631">
        <v>2719365.4824631587</v>
      </c>
    </row>
    <row r="824" spans="3:4" ht="16">
      <c r="C824" s="1594">
        <v>812</v>
      </c>
      <c r="D824" s="1631">
        <v>2719365.4824631587</v>
      </c>
    </row>
    <row r="825" spans="3:4" ht="16">
      <c r="C825" s="1594">
        <v>813</v>
      </c>
      <c r="D825" s="1631">
        <v>2719365.4824631587</v>
      </c>
    </row>
    <row r="826" spans="3:4" ht="16">
      <c r="C826" s="1594">
        <v>814</v>
      </c>
      <c r="D826" s="1631">
        <v>2719365.4824631587</v>
      </c>
    </row>
    <row r="827" spans="3:4" ht="16">
      <c r="C827" s="1594">
        <v>815</v>
      </c>
      <c r="D827" s="1631">
        <v>2719365.4824631587</v>
      </c>
    </row>
    <row r="828" spans="3:4" ht="16">
      <c r="C828" s="1594">
        <v>816</v>
      </c>
      <c r="D828" s="1631">
        <v>2719365.4824631587</v>
      </c>
    </row>
    <row r="829" spans="3:4" ht="16">
      <c r="C829" s="1594">
        <v>817</v>
      </c>
      <c r="D829" s="1631">
        <v>2719365.4824631587</v>
      </c>
    </row>
    <row r="830" spans="3:4" ht="16">
      <c r="C830" s="1594">
        <v>818</v>
      </c>
      <c r="D830" s="1631">
        <v>2719365.4824631587</v>
      </c>
    </row>
    <row r="831" spans="3:4" ht="16">
      <c r="C831" s="1594">
        <v>819</v>
      </c>
      <c r="D831" s="1631">
        <v>2719365.4824631587</v>
      </c>
    </row>
    <row r="832" spans="3:4" ht="16">
      <c r="C832" s="1594">
        <v>820</v>
      </c>
      <c r="D832" s="1631">
        <v>2719365.4824631587</v>
      </c>
    </row>
    <row r="833" spans="3:4" ht="16">
      <c r="C833" s="1594">
        <v>821</v>
      </c>
      <c r="D833" s="1631">
        <v>2719365.4824631587</v>
      </c>
    </row>
    <row r="834" spans="3:4" ht="16">
      <c r="C834" s="1594">
        <v>822</v>
      </c>
      <c r="D834" s="1631">
        <v>2719365.4824631587</v>
      </c>
    </row>
    <row r="835" spans="3:4" ht="16">
      <c r="C835" s="1594">
        <v>823</v>
      </c>
      <c r="D835" s="1631">
        <v>2719365.4824631587</v>
      </c>
    </row>
    <row r="836" spans="3:4" ht="16">
      <c r="C836" s="1594">
        <v>824</v>
      </c>
      <c r="D836" s="1631">
        <v>2719365.4824631587</v>
      </c>
    </row>
    <row r="837" spans="3:4" ht="16">
      <c r="C837" s="1594">
        <v>825</v>
      </c>
      <c r="D837" s="1631">
        <v>2719365.4824631587</v>
      </c>
    </row>
    <row r="838" spans="3:4" ht="16">
      <c r="C838" s="1594">
        <v>826</v>
      </c>
      <c r="D838" s="1631">
        <v>2719365.4824631587</v>
      </c>
    </row>
    <row r="839" spans="3:4" ht="16">
      <c r="C839" s="1594">
        <v>827</v>
      </c>
      <c r="D839" s="1631">
        <v>2719365.4824631587</v>
      </c>
    </row>
    <row r="840" spans="3:4" ht="16">
      <c r="C840" s="1594">
        <v>828</v>
      </c>
      <c r="D840" s="1631">
        <v>2719365.4824631587</v>
      </c>
    </row>
    <row r="841" spans="3:4" ht="16">
      <c r="C841" s="1594">
        <v>829</v>
      </c>
      <c r="D841" s="1631">
        <v>2719365.4824631587</v>
      </c>
    </row>
    <row r="842" spans="3:4" ht="16">
      <c r="C842" s="1594">
        <v>830</v>
      </c>
      <c r="D842" s="1631">
        <v>2719365.4824631587</v>
      </c>
    </row>
    <row r="843" spans="3:4" ht="16">
      <c r="C843" s="1594">
        <v>831</v>
      </c>
      <c r="D843" s="1631">
        <v>2719365.4824631587</v>
      </c>
    </row>
    <row r="844" spans="3:4" ht="16">
      <c r="C844" s="1594">
        <v>832</v>
      </c>
      <c r="D844" s="1631">
        <v>2719365.4824631587</v>
      </c>
    </row>
    <row r="845" spans="3:4" ht="16">
      <c r="C845" s="1594">
        <v>833</v>
      </c>
      <c r="D845" s="1631">
        <v>2719365.4824631587</v>
      </c>
    </row>
    <row r="846" spans="3:4" ht="16">
      <c r="C846" s="1594">
        <v>834</v>
      </c>
      <c r="D846" s="1631">
        <v>2719365.4824631587</v>
      </c>
    </row>
    <row r="847" spans="3:4" ht="16">
      <c r="C847" s="1594">
        <v>835</v>
      </c>
      <c r="D847" s="1631">
        <v>2719365.4824631587</v>
      </c>
    </row>
    <row r="848" spans="3:4" ht="16">
      <c r="C848" s="1594">
        <v>836</v>
      </c>
      <c r="D848" s="1631">
        <v>2719365.4824631587</v>
      </c>
    </row>
    <row r="849" spans="3:4" ht="16">
      <c r="C849" s="1594">
        <v>837</v>
      </c>
      <c r="D849" s="1631">
        <v>2719365.4824631587</v>
      </c>
    </row>
    <row r="850" spans="3:4" ht="16">
      <c r="C850" s="1594">
        <v>838</v>
      </c>
      <c r="D850" s="1631">
        <v>2719365.4824631587</v>
      </c>
    </row>
    <row r="851" spans="3:4" ht="16">
      <c r="C851" s="1594">
        <v>839</v>
      </c>
      <c r="D851" s="1631">
        <v>2719365.4824631587</v>
      </c>
    </row>
    <row r="852" spans="3:4" ht="16">
      <c r="C852" s="1594">
        <v>840</v>
      </c>
      <c r="D852" s="1631">
        <v>2719365.4824631587</v>
      </c>
    </row>
    <row r="853" spans="3:4" ht="16">
      <c r="C853" s="1594">
        <v>841</v>
      </c>
      <c r="D853" s="1631">
        <v>2719365.4824631587</v>
      </c>
    </row>
    <row r="854" spans="3:4" ht="16">
      <c r="C854" s="1594">
        <v>842</v>
      </c>
      <c r="D854" s="1631">
        <v>2719365.4824631587</v>
      </c>
    </row>
    <row r="855" spans="3:4" ht="16">
      <c r="C855" s="1594">
        <v>843</v>
      </c>
      <c r="D855" s="1631">
        <v>2719365.4824631587</v>
      </c>
    </row>
    <row r="856" spans="3:4" ht="16">
      <c r="C856" s="1594">
        <v>844</v>
      </c>
      <c r="D856" s="1631">
        <v>2719365.4824631587</v>
      </c>
    </row>
    <row r="857" spans="3:4" ht="16">
      <c r="C857" s="1594">
        <v>845</v>
      </c>
      <c r="D857" s="1631">
        <v>2719365.4824631587</v>
      </c>
    </row>
    <row r="858" spans="3:4" ht="16">
      <c r="C858" s="1594">
        <v>846</v>
      </c>
      <c r="D858" s="1631">
        <v>2719365.4824631587</v>
      </c>
    </row>
    <row r="859" spans="3:4" ht="16">
      <c r="C859" s="1594">
        <v>847</v>
      </c>
      <c r="D859" s="1631">
        <v>2719365.4824631587</v>
      </c>
    </row>
    <row r="860" spans="3:4" ht="16">
      <c r="C860" s="1594">
        <v>848</v>
      </c>
      <c r="D860" s="1631">
        <v>2719365.4824631587</v>
      </c>
    </row>
    <row r="861" spans="3:4" ht="16">
      <c r="C861" s="1594">
        <v>849</v>
      </c>
      <c r="D861" s="1631">
        <v>2719365.4824631587</v>
      </c>
    </row>
    <row r="862" spans="3:4" ht="16">
      <c r="C862" s="1594">
        <v>850</v>
      </c>
      <c r="D862" s="1631">
        <v>2719365.4824631587</v>
      </c>
    </row>
    <row r="863" spans="3:4" ht="16">
      <c r="C863" s="1594">
        <v>851</v>
      </c>
      <c r="D863" s="1631">
        <v>2719365.4824631587</v>
      </c>
    </row>
    <row r="864" spans="3:4" ht="16">
      <c r="C864" s="1594">
        <v>852</v>
      </c>
      <c r="D864" s="1631">
        <v>2719365.4824631587</v>
      </c>
    </row>
    <row r="865" spans="3:4" ht="16">
      <c r="C865" s="1594">
        <v>853</v>
      </c>
      <c r="D865" s="1631">
        <v>2719365.4824631587</v>
      </c>
    </row>
    <row r="866" spans="3:4" ht="16">
      <c r="C866" s="1594">
        <v>854</v>
      </c>
      <c r="D866" s="1631">
        <v>2719365.4824631587</v>
      </c>
    </row>
    <row r="867" spans="3:4" ht="16">
      <c r="C867" s="1594">
        <v>855</v>
      </c>
      <c r="D867" s="1631">
        <v>2719365.4824631587</v>
      </c>
    </row>
    <row r="868" spans="3:4" ht="16">
      <c r="C868" s="1594">
        <v>856</v>
      </c>
      <c r="D868" s="1631">
        <v>2719365.4824631587</v>
      </c>
    </row>
    <row r="869" spans="3:4" ht="16">
      <c r="C869" s="1594">
        <v>857</v>
      </c>
      <c r="D869" s="1631">
        <v>2719365.4824631587</v>
      </c>
    </row>
    <row r="870" spans="3:4" ht="16">
      <c r="C870" s="1594">
        <v>858</v>
      </c>
      <c r="D870" s="1631">
        <v>2719365.4824631587</v>
      </c>
    </row>
    <row r="871" spans="3:4" ht="16">
      <c r="C871" s="1594">
        <v>859</v>
      </c>
      <c r="D871" s="1631">
        <v>2719365.4824631587</v>
      </c>
    </row>
    <row r="872" spans="3:4" ht="16">
      <c r="C872" s="1594">
        <v>860</v>
      </c>
      <c r="D872" s="1631">
        <v>2719365.4824631587</v>
      </c>
    </row>
    <row r="873" spans="3:4" ht="16">
      <c r="C873" s="1594">
        <v>861</v>
      </c>
      <c r="D873" s="1631">
        <v>2719365.4824631587</v>
      </c>
    </row>
    <row r="874" spans="3:4" ht="16">
      <c r="C874" s="1594">
        <v>862</v>
      </c>
      <c r="D874" s="1631">
        <v>2719365.4824631587</v>
      </c>
    </row>
    <row r="875" spans="3:4" ht="16">
      <c r="C875" s="1594">
        <v>863</v>
      </c>
      <c r="D875" s="1631">
        <v>2719365.4824631587</v>
      </c>
    </row>
    <row r="876" spans="3:4" ht="16">
      <c r="C876" s="1594">
        <v>864</v>
      </c>
      <c r="D876" s="1631">
        <v>2719365.4824631587</v>
      </c>
    </row>
    <row r="877" spans="3:4" ht="16">
      <c r="C877" s="1594">
        <v>865</v>
      </c>
      <c r="D877" s="1631">
        <v>2719365.4824631587</v>
      </c>
    </row>
    <row r="878" spans="3:4" ht="16">
      <c r="C878" s="1594">
        <v>866</v>
      </c>
      <c r="D878" s="1631">
        <v>2719365.4824631587</v>
      </c>
    </row>
    <row r="879" spans="3:4" ht="16">
      <c r="C879" s="1594">
        <v>867</v>
      </c>
      <c r="D879" s="1631">
        <v>2719365.4824631587</v>
      </c>
    </row>
    <row r="880" spans="3:4" ht="16">
      <c r="C880" s="1594">
        <v>868</v>
      </c>
      <c r="D880" s="1631">
        <v>2719365.4824631587</v>
      </c>
    </row>
    <row r="881" spans="3:4" ht="16">
      <c r="C881" s="1594">
        <v>869</v>
      </c>
      <c r="D881" s="1631">
        <v>2719365.4824631587</v>
      </c>
    </row>
    <row r="882" spans="3:4" ht="16">
      <c r="C882" s="1594">
        <v>870</v>
      </c>
      <c r="D882" s="1631">
        <v>2719365.4824631587</v>
      </c>
    </row>
    <row r="883" spans="3:4" ht="16">
      <c r="C883" s="1594">
        <v>871</v>
      </c>
      <c r="D883" s="1631">
        <v>2719365.4824631587</v>
      </c>
    </row>
    <row r="884" spans="3:4" ht="16">
      <c r="C884" s="1594">
        <v>872</v>
      </c>
      <c r="D884" s="1631">
        <v>2719365.4824631587</v>
      </c>
    </row>
    <row r="885" spans="3:4" ht="16">
      <c r="C885" s="1594">
        <v>873</v>
      </c>
      <c r="D885" s="1631">
        <v>2719365.4824631587</v>
      </c>
    </row>
    <row r="886" spans="3:4" ht="16">
      <c r="C886" s="1594">
        <v>874</v>
      </c>
      <c r="D886" s="1631">
        <v>2719365.4824631587</v>
      </c>
    </row>
    <row r="887" spans="3:4" ht="16">
      <c r="C887" s="1594">
        <v>875</v>
      </c>
      <c r="D887" s="1631">
        <v>2719365.4824631587</v>
      </c>
    </row>
    <row r="888" spans="3:4" ht="16">
      <c r="C888" s="1594">
        <v>876</v>
      </c>
      <c r="D888" s="1631">
        <v>2719365.4824631587</v>
      </c>
    </row>
    <row r="889" spans="3:4" ht="16">
      <c r="C889" s="1594">
        <v>877</v>
      </c>
      <c r="D889" s="1631">
        <v>2719365.4824631587</v>
      </c>
    </row>
    <row r="890" spans="3:4" ht="16">
      <c r="C890" s="1594">
        <v>878</v>
      </c>
      <c r="D890" s="1631">
        <v>2719365.4824631587</v>
      </c>
    </row>
    <row r="891" spans="3:4" ht="16">
      <c r="C891" s="1594">
        <v>879</v>
      </c>
      <c r="D891" s="1631">
        <v>2719365.4824631587</v>
      </c>
    </row>
    <row r="892" spans="3:4" ht="16">
      <c r="C892" s="1594">
        <v>880</v>
      </c>
      <c r="D892" s="1631">
        <v>2719365.4824631587</v>
      </c>
    </row>
    <row r="893" spans="3:4" ht="16">
      <c r="C893" s="1594">
        <v>881</v>
      </c>
      <c r="D893" s="1631">
        <v>2719365.4824631587</v>
      </c>
    </row>
    <row r="894" spans="3:4" ht="16">
      <c r="C894" s="1594">
        <v>882</v>
      </c>
      <c r="D894" s="1631">
        <v>2719365.4824631587</v>
      </c>
    </row>
    <row r="895" spans="3:4" ht="16">
      <c r="C895" s="1594">
        <v>883</v>
      </c>
      <c r="D895" s="1631">
        <v>2719365.4824631587</v>
      </c>
    </row>
    <row r="896" spans="3:4" ht="16">
      <c r="C896" s="1594">
        <v>884</v>
      </c>
      <c r="D896" s="1631">
        <v>2719365.4824631587</v>
      </c>
    </row>
    <row r="897" spans="3:4" ht="16">
      <c r="C897" s="1594">
        <v>885</v>
      </c>
      <c r="D897" s="1631">
        <v>2719365.4824631587</v>
      </c>
    </row>
    <row r="898" spans="3:4" ht="16">
      <c r="C898" s="1594">
        <v>886</v>
      </c>
      <c r="D898" s="1631">
        <v>2719365.4824631587</v>
      </c>
    </row>
    <row r="899" spans="3:4" ht="16">
      <c r="C899" s="1594">
        <v>887</v>
      </c>
      <c r="D899" s="1631">
        <v>2719365.4824631587</v>
      </c>
    </row>
    <row r="900" spans="3:4" ht="16">
      <c r="C900" s="1594">
        <v>888</v>
      </c>
      <c r="D900" s="1631">
        <v>2719365.4824631587</v>
      </c>
    </row>
    <row r="901" spans="3:4" ht="16">
      <c r="C901" s="1594">
        <v>889</v>
      </c>
      <c r="D901" s="1631">
        <v>2719365.4824631587</v>
      </c>
    </row>
    <row r="902" spans="3:4" ht="16">
      <c r="C902" s="1594">
        <v>890</v>
      </c>
      <c r="D902" s="1631">
        <v>2719365.4824631587</v>
      </c>
    </row>
    <row r="903" spans="3:4" ht="16">
      <c r="C903" s="1594">
        <v>891</v>
      </c>
      <c r="D903" s="1631">
        <v>2719365.4824631587</v>
      </c>
    </row>
    <row r="904" spans="3:4" ht="16">
      <c r="C904" s="1594">
        <v>892</v>
      </c>
      <c r="D904" s="1631">
        <v>2719365.4824631587</v>
      </c>
    </row>
    <row r="905" spans="3:4" ht="16">
      <c r="C905" s="1594">
        <v>893</v>
      </c>
      <c r="D905" s="1631">
        <v>2719365.4824631587</v>
      </c>
    </row>
    <row r="906" spans="3:4" ht="16">
      <c r="C906" s="1594">
        <v>894</v>
      </c>
      <c r="D906" s="1631">
        <v>2719365.4824631587</v>
      </c>
    </row>
    <row r="907" spans="3:4" ht="16">
      <c r="C907" s="1594">
        <v>895</v>
      </c>
      <c r="D907" s="1631">
        <v>2719365.4824631587</v>
      </c>
    </row>
    <row r="908" spans="3:4" ht="16">
      <c r="C908" s="1594">
        <v>896</v>
      </c>
      <c r="D908" s="1631">
        <v>2719365.4824631587</v>
      </c>
    </row>
    <row r="909" spans="3:4" ht="16">
      <c r="C909" s="1594">
        <v>897</v>
      </c>
      <c r="D909" s="1631">
        <v>2719365.4824631587</v>
      </c>
    </row>
    <row r="910" spans="3:4" ht="16">
      <c r="C910" s="1594">
        <v>898</v>
      </c>
      <c r="D910" s="1631">
        <v>2719365.4824631587</v>
      </c>
    </row>
    <row r="911" spans="3:4" ht="16">
      <c r="C911" s="1594">
        <v>899</v>
      </c>
      <c r="D911" s="1631">
        <v>2719365.4824631587</v>
      </c>
    </row>
    <row r="912" spans="3:4" ht="16">
      <c r="C912" s="1594">
        <v>900</v>
      </c>
      <c r="D912" s="1631">
        <v>2719365.4824631587</v>
      </c>
    </row>
    <row r="913" spans="3:4" ht="16">
      <c r="C913" s="1594">
        <v>901</v>
      </c>
      <c r="D913" s="1631">
        <v>2719365.4824631587</v>
      </c>
    </row>
    <row r="914" spans="3:4" ht="16">
      <c r="C914" s="1594">
        <v>902</v>
      </c>
      <c r="D914" s="1631">
        <v>2719365.4824631587</v>
      </c>
    </row>
    <row r="915" spans="3:4" ht="16">
      <c r="C915" s="1594">
        <v>903</v>
      </c>
      <c r="D915" s="1631">
        <v>2719365.4824631587</v>
      </c>
    </row>
    <row r="916" spans="3:4" ht="16">
      <c r="C916" s="1594">
        <v>904</v>
      </c>
      <c r="D916" s="1631">
        <v>2719365.4824631587</v>
      </c>
    </row>
    <row r="917" spans="3:4" ht="16">
      <c r="C917" s="1594">
        <v>905</v>
      </c>
      <c r="D917" s="1631">
        <v>2719365.4824631587</v>
      </c>
    </row>
    <row r="918" spans="3:4" ht="16">
      <c r="C918" s="1594">
        <v>906</v>
      </c>
      <c r="D918" s="1631">
        <v>2719365.4824631587</v>
      </c>
    </row>
    <row r="919" spans="3:4" ht="16">
      <c r="C919" s="1594">
        <v>907</v>
      </c>
      <c r="D919" s="1631">
        <v>2719365.4824631587</v>
      </c>
    </row>
    <row r="920" spans="3:4" ht="16">
      <c r="C920" s="1594">
        <v>908</v>
      </c>
      <c r="D920" s="1631">
        <v>2719365.4824631587</v>
      </c>
    </row>
    <row r="921" spans="3:4" ht="16">
      <c r="C921" s="1594">
        <v>909</v>
      </c>
      <c r="D921" s="1631">
        <v>2719365.4824631587</v>
      </c>
    </row>
    <row r="922" spans="3:4" ht="16">
      <c r="C922" s="1594">
        <v>910</v>
      </c>
      <c r="D922" s="1631">
        <v>2719365.4824631587</v>
      </c>
    </row>
    <row r="923" spans="3:4" ht="16">
      <c r="C923" s="1594">
        <v>911</v>
      </c>
      <c r="D923" s="1631">
        <v>2719365.4824631587</v>
      </c>
    </row>
    <row r="924" spans="3:4" ht="16">
      <c r="C924" s="1594">
        <v>912</v>
      </c>
      <c r="D924" s="1631">
        <v>2719365.4824631587</v>
      </c>
    </row>
    <row r="925" spans="3:4" ht="16">
      <c r="C925" s="1594">
        <v>913</v>
      </c>
      <c r="D925" s="1631">
        <v>2719365.4824631587</v>
      </c>
    </row>
    <row r="926" spans="3:4" ht="16">
      <c r="C926" s="1594">
        <v>914</v>
      </c>
      <c r="D926" s="1631">
        <v>2719365.4824631587</v>
      </c>
    </row>
    <row r="927" spans="3:4" ht="16">
      <c r="C927" s="1594">
        <v>915</v>
      </c>
      <c r="D927" s="1631">
        <v>2719365.4824631587</v>
      </c>
    </row>
    <row r="928" spans="3:4" ht="16">
      <c r="C928" s="1594">
        <v>916</v>
      </c>
      <c r="D928" s="1631">
        <v>2719365.4824631587</v>
      </c>
    </row>
    <row r="929" spans="3:4" ht="16">
      <c r="C929" s="1594">
        <v>917</v>
      </c>
      <c r="D929" s="1631">
        <v>2719365.4824631587</v>
      </c>
    </row>
    <row r="930" spans="3:4" ht="16">
      <c r="C930" s="1594">
        <v>918</v>
      </c>
      <c r="D930" s="1631">
        <v>2719365.4824631587</v>
      </c>
    </row>
    <row r="931" spans="3:4" ht="16">
      <c r="C931" s="1594">
        <v>919</v>
      </c>
      <c r="D931" s="1631">
        <v>2719365.4824631587</v>
      </c>
    </row>
    <row r="932" spans="3:4" ht="16">
      <c r="C932" s="1594">
        <v>920</v>
      </c>
      <c r="D932" s="1631">
        <v>2719365.4824631587</v>
      </c>
    </row>
    <row r="933" spans="3:4" ht="16">
      <c r="C933" s="1594">
        <v>921</v>
      </c>
      <c r="D933" s="1631">
        <v>2719365.4824631587</v>
      </c>
    </row>
    <row r="934" spans="3:4" ht="16">
      <c r="C934" s="1594">
        <v>922</v>
      </c>
      <c r="D934" s="1631">
        <v>2719365.4824631587</v>
      </c>
    </row>
    <row r="935" spans="3:4" ht="16">
      <c r="C935" s="1594">
        <v>923</v>
      </c>
      <c r="D935" s="1631">
        <v>2719365.4824631587</v>
      </c>
    </row>
    <row r="936" spans="3:4" ht="16">
      <c r="C936" s="1594">
        <v>924</v>
      </c>
      <c r="D936" s="1631">
        <v>2719365.4824631587</v>
      </c>
    </row>
    <row r="937" spans="3:4" ht="16">
      <c r="C937" s="1594">
        <v>925</v>
      </c>
      <c r="D937" s="1631">
        <v>2719365.4824631587</v>
      </c>
    </row>
    <row r="938" spans="3:4" ht="16">
      <c r="C938" s="1594">
        <v>926</v>
      </c>
      <c r="D938" s="1631">
        <v>2719365.4824631587</v>
      </c>
    </row>
    <row r="939" spans="3:4" ht="16">
      <c r="C939" s="1594">
        <v>927</v>
      </c>
      <c r="D939" s="1631">
        <v>2719365.4824631587</v>
      </c>
    </row>
    <row r="940" spans="3:4" ht="16">
      <c r="C940" s="1594">
        <v>928</v>
      </c>
      <c r="D940" s="1631">
        <v>2719365.4824631587</v>
      </c>
    </row>
    <row r="941" spans="3:4" ht="16">
      <c r="C941" s="1594">
        <v>929</v>
      </c>
      <c r="D941" s="1631">
        <v>2719365.4824631587</v>
      </c>
    </row>
    <row r="942" spans="3:4" ht="16">
      <c r="C942" s="1594">
        <v>930</v>
      </c>
      <c r="D942" s="1631">
        <v>2719365.4824631587</v>
      </c>
    </row>
    <row r="943" spans="3:4" ht="16">
      <c r="C943" s="1594">
        <v>931</v>
      </c>
      <c r="D943" s="1631">
        <v>2719365.4824631587</v>
      </c>
    </row>
    <row r="944" spans="3:4" ht="16">
      <c r="C944" s="1594">
        <v>932</v>
      </c>
      <c r="D944" s="1631">
        <v>2719365.4824631587</v>
      </c>
    </row>
    <row r="945" spans="3:4" ht="16">
      <c r="C945" s="1594">
        <v>933</v>
      </c>
      <c r="D945" s="1631">
        <v>2719365.4824631587</v>
      </c>
    </row>
    <row r="946" spans="3:4" ht="16">
      <c r="C946" s="1594">
        <v>934</v>
      </c>
      <c r="D946" s="1631">
        <v>2719365.4824631587</v>
      </c>
    </row>
    <row r="947" spans="3:4" ht="16">
      <c r="C947" s="1594">
        <v>935</v>
      </c>
      <c r="D947" s="1631">
        <v>2719365.4824631587</v>
      </c>
    </row>
    <row r="948" spans="3:4" ht="16">
      <c r="C948" s="1594">
        <v>936</v>
      </c>
      <c r="D948" s="1631">
        <v>2719365.4824631587</v>
      </c>
    </row>
    <row r="949" spans="3:4" ht="16">
      <c r="C949" s="1594">
        <v>937</v>
      </c>
      <c r="D949" s="1631">
        <v>2719365.4824631587</v>
      </c>
    </row>
    <row r="950" spans="3:4" ht="16">
      <c r="C950" s="1594">
        <v>938</v>
      </c>
      <c r="D950" s="1631">
        <v>2719365.4824631587</v>
      </c>
    </row>
    <row r="951" spans="3:4" ht="16">
      <c r="C951" s="1594">
        <v>939</v>
      </c>
      <c r="D951" s="1631">
        <v>2719365.4824631587</v>
      </c>
    </row>
    <row r="952" spans="3:4" ht="16">
      <c r="C952" s="1594">
        <v>940</v>
      </c>
      <c r="D952" s="1631">
        <v>2719365.4824631587</v>
      </c>
    </row>
    <row r="953" spans="3:4" ht="16">
      <c r="C953" s="1594">
        <v>941</v>
      </c>
      <c r="D953" s="1631">
        <v>2719365.4824631587</v>
      </c>
    </row>
    <row r="954" spans="3:4" ht="16">
      <c r="C954" s="1594">
        <v>942</v>
      </c>
      <c r="D954" s="1631">
        <v>2719365.4824631587</v>
      </c>
    </row>
    <row r="955" spans="3:4" ht="16">
      <c r="C955" s="1594">
        <v>943</v>
      </c>
      <c r="D955" s="1631">
        <v>2719365.4824631587</v>
      </c>
    </row>
    <row r="956" spans="3:4" ht="16">
      <c r="C956" s="1594">
        <v>944</v>
      </c>
      <c r="D956" s="1631">
        <v>2719365.4824631587</v>
      </c>
    </row>
    <row r="957" spans="3:4" ht="16">
      <c r="C957" s="1594">
        <v>945</v>
      </c>
      <c r="D957" s="1631">
        <v>2719365.4824631587</v>
      </c>
    </row>
    <row r="958" spans="3:4" ht="16">
      <c r="C958" s="1594">
        <v>946</v>
      </c>
      <c r="D958" s="1631">
        <v>2719365.4824631587</v>
      </c>
    </row>
    <row r="959" spans="3:4" ht="16">
      <c r="C959" s="1594">
        <v>947</v>
      </c>
      <c r="D959" s="1631">
        <v>2719365.4824631587</v>
      </c>
    </row>
    <row r="960" spans="3:4" ht="16">
      <c r="C960" s="1594">
        <v>948</v>
      </c>
      <c r="D960" s="1631">
        <v>2719365.4824631587</v>
      </c>
    </row>
    <row r="961" spans="3:4" ht="16">
      <c r="C961" s="1594">
        <v>949</v>
      </c>
      <c r="D961" s="1631">
        <v>2719365.4824631587</v>
      </c>
    </row>
    <row r="962" spans="3:4" ht="16">
      <c r="C962" s="1594">
        <v>950</v>
      </c>
      <c r="D962" s="1631">
        <v>2719365.4824631587</v>
      </c>
    </row>
    <row r="963" spans="3:4" ht="16">
      <c r="C963" s="1594">
        <v>951</v>
      </c>
      <c r="D963" s="1631">
        <v>2719365.4824631587</v>
      </c>
    </row>
    <row r="964" spans="3:4" ht="16">
      <c r="C964" s="1594">
        <v>952</v>
      </c>
      <c r="D964" s="1631">
        <v>2719365.4824631587</v>
      </c>
    </row>
    <row r="965" spans="3:4" ht="16">
      <c r="C965" s="1594">
        <v>953</v>
      </c>
      <c r="D965" s="1631">
        <v>2719365.4824631587</v>
      </c>
    </row>
    <row r="966" spans="3:4" ht="16">
      <c r="C966" s="1594">
        <v>954</v>
      </c>
      <c r="D966" s="1631">
        <v>2719365.4824631587</v>
      </c>
    </row>
    <row r="967" spans="3:4" ht="16">
      <c r="C967" s="1594">
        <v>955</v>
      </c>
      <c r="D967" s="1631">
        <v>2719365.4824631587</v>
      </c>
    </row>
    <row r="968" spans="3:4" ht="16">
      <c r="C968" s="1594">
        <v>956</v>
      </c>
      <c r="D968" s="1631">
        <v>2719365.4824631587</v>
      </c>
    </row>
    <row r="969" spans="3:4" ht="16">
      <c r="C969" s="1594">
        <v>957</v>
      </c>
      <c r="D969" s="1631">
        <v>2719365.4824631587</v>
      </c>
    </row>
    <row r="970" spans="3:4" ht="16">
      <c r="C970" s="1594">
        <v>958</v>
      </c>
      <c r="D970" s="1631">
        <v>2719365.4824631587</v>
      </c>
    </row>
    <row r="971" spans="3:4" ht="16">
      <c r="C971" s="1594">
        <v>959</v>
      </c>
      <c r="D971" s="1631">
        <v>2719365.4824631587</v>
      </c>
    </row>
    <row r="972" spans="3:4" ht="16">
      <c r="C972" s="1594">
        <v>960</v>
      </c>
      <c r="D972" s="1631">
        <v>2719365.4824631587</v>
      </c>
    </row>
    <row r="973" spans="3:4" ht="16">
      <c r="C973" s="1594">
        <v>961</v>
      </c>
      <c r="D973" s="1631">
        <v>2719365.4824631587</v>
      </c>
    </row>
    <row r="974" spans="3:4" ht="16">
      <c r="C974" s="1594">
        <v>962</v>
      </c>
      <c r="D974" s="1631">
        <v>2719365.4824631587</v>
      </c>
    </row>
    <row r="975" spans="3:4" ht="16">
      <c r="C975" s="1594">
        <v>963</v>
      </c>
      <c r="D975" s="1631">
        <v>2719365.4824631587</v>
      </c>
    </row>
    <row r="976" spans="3:4" ht="16">
      <c r="C976" s="1594">
        <v>964</v>
      </c>
      <c r="D976" s="1631">
        <v>2719365.4824631587</v>
      </c>
    </row>
    <row r="977" spans="3:4" ht="16">
      <c r="C977" s="1594">
        <v>965</v>
      </c>
      <c r="D977" s="1631">
        <v>2719365.4824631587</v>
      </c>
    </row>
    <row r="978" spans="3:4" ht="16">
      <c r="C978" s="1594">
        <v>966</v>
      </c>
      <c r="D978" s="1631">
        <v>2719365.4824631587</v>
      </c>
    </row>
    <row r="979" spans="3:4" ht="16">
      <c r="C979" s="1594">
        <v>967</v>
      </c>
      <c r="D979" s="1631">
        <v>2719365.4824631587</v>
      </c>
    </row>
    <row r="980" spans="3:4" ht="16">
      <c r="C980" s="1594">
        <v>968</v>
      </c>
      <c r="D980" s="1631">
        <v>2719365.4824631587</v>
      </c>
    </row>
    <row r="981" spans="3:4" ht="16">
      <c r="C981" s="1594">
        <v>969</v>
      </c>
      <c r="D981" s="1631">
        <v>2719365.4824631587</v>
      </c>
    </row>
    <row r="982" spans="3:4" ht="16">
      <c r="C982" s="1594">
        <v>970</v>
      </c>
      <c r="D982" s="1631">
        <v>2719365.4824631587</v>
      </c>
    </row>
    <row r="983" spans="3:4" ht="16">
      <c r="C983" s="1594">
        <v>971</v>
      </c>
      <c r="D983" s="1631">
        <v>2719365.4824631587</v>
      </c>
    </row>
    <row r="984" spans="3:4" ht="16">
      <c r="C984" s="1594">
        <v>972</v>
      </c>
      <c r="D984" s="1631">
        <v>2719365.4824631587</v>
      </c>
    </row>
    <row r="985" spans="3:4" ht="16">
      <c r="C985" s="1594">
        <v>973</v>
      </c>
      <c r="D985" s="1631">
        <v>2719365.4824631587</v>
      </c>
    </row>
    <row r="986" spans="3:4" ht="16">
      <c r="C986" s="1594">
        <v>974</v>
      </c>
      <c r="D986" s="1631">
        <v>2719365.4824631587</v>
      </c>
    </row>
    <row r="987" spans="3:4" ht="16">
      <c r="C987" s="1594">
        <v>975</v>
      </c>
      <c r="D987" s="1631">
        <v>2719365.4824631587</v>
      </c>
    </row>
    <row r="988" spans="3:4" ht="16">
      <c r="C988" s="1594">
        <v>976</v>
      </c>
      <c r="D988" s="1631">
        <v>2719365.4824631587</v>
      </c>
    </row>
    <row r="989" spans="3:4" ht="16">
      <c r="C989" s="1594">
        <v>977</v>
      </c>
      <c r="D989" s="1631">
        <v>2719365.4824631587</v>
      </c>
    </row>
    <row r="990" spans="3:4" ht="16">
      <c r="C990" s="1594">
        <v>978</v>
      </c>
      <c r="D990" s="1631">
        <v>2719365.4824631587</v>
      </c>
    </row>
    <row r="991" spans="3:4" ht="16">
      <c r="C991" s="1594">
        <v>979</v>
      </c>
      <c r="D991" s="1631">
        <v>2719365.4824631587</v>
      </c>
    </row>
    <row r="992" spans="3:4" ht="16">
      <c r="C992" s="1594">
        <v>980</v>
      </c>
      <c r="D992" s="1631">
        <v>2719365.4824631587</v>
      </c>
    </row>
    <row r="993" spans="3:4" ht="16">
      <c r="C993" s="1594">
        <v>981</v>
      </c>
      <c r="D993" s="1631">
        <v>2719365.4824631587</v>
      </c>
    </row>
    <row r="994" spans="3:4" ht="16">
      <c r="C994" s="1594">
        <v>982</v>
      </c>
      <c r="D994" s="1631">
        <v>2719365.4824631587</v>
      </c>
    </row>
    <row r="995" spans="3:4" ht="16">
      <c r="C995" s="1594">
        <v>983</v>
      </c>
      <c r="D995" s="1631">
        <v>2719365.4824631587</v>
      </c>
    </row>
    <row r="996" spans="3:4" ht="16">
      <c r="C996" s="1594">
        <v>984</v>
      </c>
      <c r="D996" s="1631">
        <v>2719365.4824631587</v>
      </c>
    </row>
    <row r="997" spans="3:4" ht="16">
      <c r="C997" s="1594">
        <v>985</v>
      </c>
      <c r="D997" s="1631">
        <v>2719365.4824631587</v>
      </c>
    </row>
    <row r="998" spans="3:4" ht="16">
      <c r="C998" s="1594">
        <v>986</v>
      </c>
      <c r="D998" s="1631">
        <v>2719365.4824631587</v>
      </c>
    </row>
    <row r="999" spans="3:4" ht="16">
      <c r="C999" s="1594">
        <v>987</v>
      </c>
      <c r="D999" s="1631">
        <v>2719365.4824631587</v>
      </c>
    </row>
    <row r="1000" spans="3:4" ht="16">
      <c r="C1000" s="1594">
        <v>988</v>
      </c>
      <c r="D1000" s="1631">
        <v>2719365.4824631587</v>
      </c>
    </row>
    <row r="1001" spans="3:4" ht="16">
      <c r="C1001" s="1594">
        <v>989</v>
      </c>
      <c r="D1001" s="1631">
        <v>2719365.4824631587</v>
      </c>
    </row>
    <row r="1002" spans="3:4" ht="16">
      <c r="C1002" s="1594">
        <v>990</v>
      </c>
      <c r="D1002" s="1631">
        <v>2719365.4824631587</v>
      </c>
    </row>
    <row r="1003" spans="3:4" ht="16">
      <c r="C1003" s="1594">
        <v>991</v>
      </c>
      <c r="D1003" s="1631">
        <v>2719365.4824631587</v>
      </c>
    </row>
    <row r="1004" spans="3:4" ht="16">
      <c r="C1004" s="1594">
        <v>992</v>
      </c>
      <c r="D1004" s="1631">
        <v>2719365.4824631587</v>
      </c>
    </row>
    <row r="1005" spans="3:4" ht="16">
      <c r="C1005" s="1594">
        <v>993</v>
      </c>
      <c r="D1005" s="1631">
        <v>2719365.4824631587</v>
      </c>
    </row>
    <row r="1006" spans="3:4" ht="16">
      <c r="C1006" s="1594">
        <v>994</v>
      </c>
      <c r="D1006" s="1631">
        <v>2719365.4824631587</v>
      </c>
    </row>
    <row r="1007" spans="3:4" ht="16">
      <c r="C1007" s="1594">
        <v>995</v>
      </c>
      <c r="D1007" s="1631">
        <v>2719365.4824631587</v>
      </c>
    </row>
    <row r="1008" spans="3:4" ht="16">
      <c r="C1008" s="1594">
        <v>996</v>
      </c>
      <c r="D1008" s="1631">
        <v>2719365.4824631587</v>
      </c>
    </row>
    <row r="1009" spans="3:4" ht="16">
      <c r="C1009" s="1594">
        <v>997</v>
      </c>
      <c r="D1009" s="1631">
        <v>2719365.4824631587</v>
      </c>
    </row>
    <row r="1010" spans="3:4" ht="16">
      <c r="C1010" s="1594">
        <v>998</v>
      </c>
      <c r="D1010" s="1631">
        <v>2719365.4824631587</v>
      </c>
    </row>
    <row r="1011" spans="3:4" ht="16">
      <c r="C1011" s="1594">
        <v>999</v>
      </c>
      <c r="D1011" s="1631">
        <v>2719365.4824631587</v>
      </c>
    </row>
    <row r="1012" spans="3:4" ht="16">
      <c r="C1012" s="1594">
        <v>1000</v>
      </c>
      <c r="D1012" s="1631">
        <v>2719365.4824631587</v>
      </c>
    </row>
  </sheetData>
  <mergeCells count="3">
    <mergeCell ref="F1:G1"/>
    <mergeCell ref="C8:D8"/>
    <mergeCell ref="F14:G14"/>
  </mergeCells>
  <hyperlinks>
    <hyperlink ref="D1" location="Index!A1" display="Index" xr:uid="{3D088300-FBEF-4C44-AE33-D31275B4A568}"/>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43</vt:i4>
      </vt:variant>
      <vt:variant>
        <vt:lpstr>Named Ranges</vt:lpstr>
      </vt:variant>
      <vt:variant>
        <vt:i4>4</vt:i4>
      </vt:variant>
    </vt:vector>
  </HeadingPairs>
  <TitlesOfParts>
    <vt:vector size="47" baseType="lpstr">
      <vt:lpstr>Cover Page</vt:lpstr>
      <vt:lpstr>Index</vt:lpstr>
      <vt:lpstr>__Solver__</vt:lpstr>
      <vt:lpstr>__Solver___conflict180682969</vt:lpstr>
      <vt:lpstr>__Solver___conflict458398760</vt:lpstr>
      <vt:lpstr>__Solver___conflict659083936</vt:lpstr>
      <vt:lpstr>__Solver___conflict489032693</vt:lpstr>
      <vt:lpstr>FE Finance Assumptions</vt:lpstr>
      <vt:lpstr>FE Income Statement</vt:lpstr>
      <vt:lpstr>FE Balance Sheet</vt:lpstr>
      <vt:lpstr>FE Cash Flow</vt:lpstr>
      <vt:lpstr>FE Receivables Payables</vt:lpstr>
      <vt:lpstr>MK Segmentation</vt:lpstr>
      <vt:lpstr>MK Purchase Intent &amp; Price</vt:lpstr>
      <vt:lpstr>MK Bases Model (Base Case)</vt:lpstr>
      <vt:lpstr>MK Price to Channel</vt:lpstr>
      <vt:lpstr>MK ACV</vt:lpstr>
      <vt:lpstr>MK IMC Schedule Y1-Y5</vt:lpstr>
      <vt:lpstr>MK IMC Y1-Y5 Summary</vt:lpstr>
      <vt:lpstr>OM Manufacturing Assumptions</vt:lpstr>
      <vt:lpstr>OM Labor Costs</vt:lpstr>
      <vt:lpstr>OM Capacity Planning</vt:lpstr>
      <vt:lpstr>OM Depreciation</vt:lpstr>
      <vt:lpstr>OM BOM EOQ Y0-Y5</vt:lpstr>
      <vt:lpstr>OM COGS Yr 0-5</vt:lpstr>
      <vt:lpstr>OM Service Level</vt:lpstr>
      <vt:lpstr>OM Year0-5 Inventory Management</vt:lpstr>
      <vt:lpstr>OM Inventory Summary Table</vt:lpstr>
      <vt:lpstr>OM PERT Model for Demand &amp; Lead</vt:lpstr>
      <vt:lpstr>OM Aggregate Hybrid Plan Y0-5</vt:lpstr>
      <vt:lpstr>OM Aggregate Chase &amp; Level</vt:lpstr>
      <vt:lpstr>__Solver___conflict1506144561</vt:lpstr>
      <vt:lpstr>__Solver___conflict114111070</vt:lpstr>
      <vt:lpstr>OM Inbound Logistics</vt:lpstr>
      <vt:lpstr>OM Outbound Logistics</vt:lpstr>
      <vt:lpstr>OM Facility Location Planning</vt:lpstr>
      <vt:lpstr>OM Costs Pie Charts Y0-Y5</vt:lpstr>
      <vt:lpstr>QM Influence Chart</vt:lpstr>
      <vt:lpstr>QM Sensitivity Analysis</vt:lpstr>
      <vt:lpstr>QM Simulation Summary</vt:lpstr>
      <vt:lpstr>QM Simulation 1</vt:lpstr>
      <vt:lpstr>QM Simulation 2</vt:lpstr>
      <vt:lpstr>QM All Variables Simulation</vt:lpstr>
      <vt:lpstr>'OM Aggregate Hybrid Plan Y0-5'!input1</vt:lpstr>
      <vt:lpstr>'OM Aggregate Hybrid Plan Y0-5'!input2</vt:lpstr>
      <vt:lpstr>'OM Aggregate Hybrid Plan Y0-5'!input3</vt:lpstr>
      <vt:lpstr>'OM Aggregate Hybrid Plan Y0-5'!input4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Parsons</dc:creator>
  <cp:lastModifiedBy>Microsoft Office User</cp:lastModifiedBy>
  <dcterms:created xsi:type="dcterms:W3CDTF">2021-04-22T01:46:29Z</dcterms:created>
  <dcterms:modified xsi:type="dcterms:W3CDTF">2021-04-26T04:56:53Z</dcterms:modified>
</cp:coreProperties>
</file>