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EE71" lockStructure="1"/>
  <bookViews>
    <workbookView xWindow="13110" yWindow="-105" windowWidth="17235" windowHeight="12690" tabRatio="649"/>
  </bookViews>
  <sheets>
    <sheet name="Анализ" sheetId="3" r:id="rId1"/>
    <sheet name="Доходы" sheetId="1" r:id="rId2"/>
    <sheet name="Расходы" sheetId="2" r:id="rId3"/>
    <sheet name="Приход по кассе" sheetId="6" r:id="rId4"/>
    <sheet name="Расход по кассе" sheetId="5" r:id="rId5"/>
    <sheet name="Задолженость по взносам" sheetId="4" r:id="rId6"/>
    <sheet name="Детализация расходов" sheetId="7" r:id="rId7"/>
  </sheets>
  <calcPr calcId="145621"/>
</workbook>
</file>

<file path=xl/calcChain.xml><?xml version="1.0" encoding="utf-8"?>
<calcChain xmlns="http://schemas.openxmlformats.org/spreadsheetml/2006/main">
  <c r="C10" i="3" l="1"/>
  <c r="C3" i="1"/>
  <c r="D21" i="2" l="1"/>
  <c r="E21" i="2"/>
  <c r="F21" i="2"/>
  <c r="G21" i="2"/>
  <c r="H21" i="2"/>
  <c r="I21" i="2"/>
  <c r="J21" i="2"/>
  <c r="K21" i="2"/>
  <c r="G28" i="5"/>
  <c r="L17" i="2"/>
  <c r="F28" i="5"/>
  <c r="C28" i="5"/>
  <c r="L22" i="2"/>
  <c r="L23" i="2"/>
  <c r="L24" i="2"/>
  <c r="L25" i="2"/>
  <c r="L26" i="2"/>
  <c r="L27" i="2"/>
  <c r="C21" i="2"/>
  <c r="G26" i="2"/>
  <c r="F15" i="2"/>
  <c r="L13" i="2"/>
  <c r="L14" i="2"/>
  <c r="L15" i="2"/>
  <c r="L16" i="2"/>
  <c r="F12" i="2"/>
  <c r="G12" i="2"/>
  <c r="H12" i="2"/>
  <c r="I12" i="2"/>
  <c r="J12" i="2"/>
  <c r="K12" i="2"/>
  <c r="C12" i="2"/>
  <c r="D12" i="2"/>
  <c r="E12" i="2"/>
  <c r="D8" i="2" l="1"/>
  <c r="D3" i="2" s="1"/>
  <c r="D28" i="2" s="1"/>
  <c r="E8" i="2"/>
  <c r="E3" i="2" s="1"/>
  <c r="E28" i="2" s="1"/>
  <c r="F8" i="2"/>
  <c r="F3" i="2" s="1"/>
  <c r="F28" i="2" s="1"/>
  <c r="G8" i="2"/>
  <c r="G3" i="2" s="1"/>
  <c r="G28" i="2" s="1"/>
  <c r="H8" i="2"/>
  <c r="H3" i="2" s="1"/>
  <c r="H28" i="2" s="1"/>
  <c r="I8" i="2"/>
  <c r="I3" i="2" s="1"/>
  <c r="I28" i="2" s="1"/>
  <c r="J8" i="2"/>
  <c r="J3" i="2" s="1"/>
  <c r="J28" i="2" s="1"/>
  <c r="K8" i="2"/>
  <c r="K3" i="2" s="1"/>
  <c r="K28" i="2" s="1"/>
  <c r="C8" i="2"/>
  <c r="C3" i="2" s="1"/>
  <c r="C28" i="2" s="1"/>
  <c r="F89" i="6"/>
  <c r="E89" i="6"/>
  <c r="D89" i="6"/>
  <c r="D28" i="5" l="1"/>
  <c r="E28" i="5"/>
  <c r="H28" i="5"/>
  <c r="I28" i="5"/>
  <c r="J28" i="5"/>
  <c r="H33" i="5" l="1"/>
  <c r="C4" i="3" l="1"/>
  <c r="C5" i="3"/>
  <c r="C6" i="3"/>
  <c r="F4" i="3"/>
  <c r="F3" i="3"/>
  <c r="F5" i="3" s="1"/>
  <c r="C3" i="3"/>
  <c r="C96" i="4"/>
  <c r="K128" i="4"/>
  <c r="E128" i="4"/>
  <c r="D128" i="4"/>
  <c r="J128" i="4" s="1"/>
  <c r="K127" i="4"/>
  <c r="E127" i="4"/>
  <c r="D127" i="4"/>
  <c r="K126" i="4"/>
  <c r="E126" i="4"/>
  <c r="J126" i="4" s="1"/>
  <c r="K125" i="4"/>
  <c r="J125" i="4"/>
  <c r="K124" i="4"/>
  <c r="J124" i="4"/>
  <c r="K123" i="4"/>
  <c r="J123" i="4"/>
  <c r="K122" i="4"/>
  <c r="E122" i="4"/>
  <c r="D122" i="4"/>
  <c r="K121" i="4"/>
  <c r="J121" i="4"/>
  <c r="K120" i="4"/>
  <c r="J120" i="4"/>
  <c r="K119" i="4"/>
  <c r="J119" i="4"/>
  <c r="K118" i="4"/>
  <c r="E118" i="4"/>
  <c r="D118" i="4"/>
  <c r="K117" i="4"/>
  <c r="J117" i="4"/>
  <c r="K116" i="4"/>
  <c r="D116" i="4"/>
  <c r="J116" i="4" s="1"/>
  <c r="K115" i="4"/>
  <c r="E115" i="4"/>
  <c r="D115" i="4"/>
  <c r="K114" i="4"/>
  <c r="J114" i="4"/>
  <c r="K113" i="4"/>
  <c r="D113" i="4"/>
  <c r="J113" i="4" s="1"/>
  <c r="K112" i="4"/>
  <c r="D112" i="4"/>
  <c r="J112" i="4" s="1"/>
  <c r="K111" i="4"/>
  <c r="D111" i="4"/>
  <c r="J111" i="4" s="1"/>
  <c r="K110" i="4"/>
  <c r="D110" i="4"/>
  <c r="J110" i="4" s="1"/>
  <c r="K109" i="4"/>
  <c r="D109" i="4"/>
  <c r="J109" i="4" s="1"/>
  <c r="K108" i="4"/>
  <c r="D108" i="4"/>
  <c r="J108" i="4" s="1"/>
  <c r="K107" i="4"/>
  <c r="D107" i="4"/>
  <c r="J107" i="4" s="1"/>
  <c r="K106" i="4"/>
  <c r="E106" i="4"/>
  <c r="J106" i="4" s="1"/>
  <c r="K105" i="4"/>
  <c r="J105" i="4"/>
  <c r="K104" i="4"/>
  <c r="D104" i="4"/>
  <c r="J104" i="4" s="1"/>
  <c r="K103" i="4"/>
  <c r="D103" i="4"/>
  <c r="J103" i="4" s="1"/>
  <c r="K102" i="4"/>
  <c r="D102" i="4"/>
  <c r="J102" i="4" s="1"/>
  <c r="K101" i="4"/>
  <c r="D101" i="4"/>
  <c r="J101" i="4" s="1"/>
  <c r="K100" i="4"/>
  <c r="D100" i="4"/>
  <c r="J100" i="4" s="1"/>
  <c r="K99" i="4"/>
  <c r="E99" i="4"/>
  <c r="D99" i="4"/>
  <c r="K98" i="4"/>
  <c r="D98" i="4"/>
  <c r="J98" i="4" s="1"/>
  <c r="K97" i="4"/>
  <c r="D97" i="4"/>
  <c r="J97" i="4" s="1"/>
  <c r="K96" i="4"/>
  <c r="J96" i="4"/>
  <c r="K95" i="4"/>
  <c r="D95" i="4"/>
  <c r="J95" i="4" s="1"/>
  <c r="K94" i="4"/>
  <c r="J94" i="4"/>
  <c r="K93" i="4"/>
  <c r="D93" i="4"/>
  <c r="J93" i="4" s="1"/>
  <c r="K92" i="4"/>
  <c r="D92" i="4"/>
  <c r="J92" i="4" s="1"/>
  <c r="K91" i="4"/>
  <c r="D91" i="4"/>
  <c r="J91" i="4" s="1"/>
  <c r="K90" i="4"/>
  <c r="E90" i="4"/>
  <c r="D90" i="4"/>
  <c r="K89" i="4"/>
  <c r="E89" i="4"/>
  <c r="D89" i="4"/>
  <c r="K88" i="4"/>
  <c r="D88" i="4"/>
  <c r="J88" i="4" s="1"/>
  <c r="K87" i="4"/>
  <c r="D87" i="4"/>
  <c r="J87" i="4" s="1"/>
  <c r="K86" i="4"/>
  <c r="E86" i="4"/>
  <c r="D86" i="4"/>
  <c r="K85" i="4"/>
  <c r="D85" i="4"/>
  <c r="J85" i="4" s="1"/>
  <c r="K84" i="4"/>
  <c r="E84" i="4"/>
  <c r="D84" i="4"/>
  <c r="K83" i="4"/>
  <c r="E83" i="4"/>
  <c r="D83" i="4"/>
  <c r="K82" i="4"/>
  <c r="D82" i="4"/>
  <c r="J82" i="4" s="1"/>
  <c r="K81" i="4"/>
  <c r="J81" i="4"/>
  <c r="K80" i="4"/>
  <c r="J80" i="4"/>
  <c r="K79" i="4"/>
  <c r="E79" i="4"/>
  <c r="D79" i="4"/>
  <c r="K78" i="4"/>
  <c r="E78" i="4"/>
  <c r="D78" i="4"/>
  <c r="J78" i="4" s="1"/>
  <c r="K77" i="4"/>
  <c r="D77" i="4"/>
  <c r="J77" i="4" s="1"/>
  <c r="K76" i="4"/>
  <c r="E76" i="4"/>
  <c r="D76" i="4"/>
  <c r="K75" i="4"/>
  <c r="D75" i="4"/>
  <c r="J75" i="4" s="1"/>
  <c r="K74" i="4"/>
  <c r="E74" i="4"/>
  <c r="D74" i="4"/>
  <c r="K73" i="4"/>
  <c r="J73" i="4"/>
  <c r="K72" i="4"/>
  <c r="D72" i="4"/>
  <c r="J72" i="4" s="1"/>
  <c r="K71" i="4"/>
  <c r="D71" i="4"/>
  <c r="J71" i="4" s="1"/>
  <c r="K70" i="4"/>
  <c r="D70" i="4"/>
  <c r="J70" i="4" s="1"/>
  <c r="K69" i="4"/>
  <c r="D69" i="4"/>
  <c r="J69" i="4" s="1"/>
  <c r="K68" i="4"/>
  <c r="D68" i="4"/>
  <c r="J68" i="4" s="1"/>
  <c r="K67" i="4"/>
  <c r="D67" i="4"/>
  <c r="J67" i="4" s="1"/>
  <c r="K66" i="4"/>
  <c r="E66" i="4"/>
  <c r="D66" i="4"/>
  <c r="K65" i="4"/>
  <c r="J65" i="4"/>
  <c r="K64" i="4"/>
  <c r="E64" i="4"/>
  <c r="D64" i="4"/>
  <c r="K63" i="4"/>
  <c r="J63" i="4"/>
  <c r="K62" i="4"/>
  <c r="D62" i="4"/>
  <c r="J62" i="4" s="1"/>
  <c r="K61" i="4"/>
  <c r="E61" i="4"/>
  <c r="D61" i="4"/>
  <c r="K60" i="4"/>
  <c r="J60" i="4"/>
  <c r="K59" i="4"/>
  <c r="D59" i="4"/>
  <c r="J59" i="4" s="1"/>
  <c r="K58" i="4"/>
  <c r="J58" i="4"/>
  <c r="K57" i="4"/>
  <c r="D57" i="4"/>
  <c r="J57" i="4" s="1"/>
  <c r="K56" i="4"/>
  <c r="E56" i="4"/>
  <c r="D56" i="4"/>
  <c r="K55" i="4"/>
  <c r="D55" i="4"/>
  <c r="J55" i="4" s="1"/>
  <c r="K54" i="4"/>
  <c r="J54" i="4"/>
  <c r="K53" i="4"/>
  <c r="J53" i="4"/>
  <c r="K52" i="4"/>
  <c r="E52" i="4"/>
  <c r="D52" i="4"/>
  <c r="K51" i="4"/>
  <c r="D51" i="4"/>
  <c r="J51" i="4" s="1"/>
  <c r="K50" i="4"/>
  <c r="D50" i="4"/>
  <c r="J50" i="4" s="1"/>
  <c r="K49" i="4"/>
  <c r="J49" i="4"/>
  <c r="K48" i="4"/>
  <c r="D48" i="4"/>
  <c r="J48" i="4" s="1"/>
  <c r="K47" i="4"/>
  <c r="D47" i="4"/>
  <c r="J47" i="4" s="1"/>
  <c r="K46" i="4"/>
  <c r="E46" i="4"/>
  <c r="D46" i="4"/>
  <c r="K45" i="4"/>
  <c r="D45" i="4"/>
  <c r="J45" i="4" s="1"/>
  <c r="K44" i="4"/>
  <c r="D44" i="4"/>
  <c r="J44" i="4" s="1"/>
  <c r="K43" i="4"/>
  <c r="E43" i="4"/>
  <c r="D43" i="4"/>
  <c r="K42" i="4"/>
  <c r="D42" i="4"/>
  <c r="J42" i="4" s="1"/>
  <c r="K41" i="4"/>
  <c r="J41" i="4"/>
  <c r="D41" i="4"/>
  <c r="K40" i="4"/>
  <c r="D40" i="4"/>
  <c r="J40" i="4" s="1"/>
  <c r="K39" i="4"/>
  <c r="D39" i="4"/>
  <c r="J39" i="4" s="1"/>
  <c r="K38" i="4"/>
  <c r="D38" i="4"/>
  <c r="J38" i="4" s="1"/>
  <c r="K37" i="4"/>
  <c r="D37" i="4"/>
  <c r="J37" i="4" s="1"/>
  <c r="K36" i="4"/>
  <c r="E36" i="4"/>
  <c r="D36" i="4"/>
  <c r="K35" i="4"/>
  <c r="E35" i="4"/>
  <c r="D35" i="4"/>
  <c r="K34" i="4"/>
  <c r="E34" i="4"/>
  <c r="D34" i="4"/>
  <c r="K33" i="4"/>
  <c r="D33" i="4"/>
  <c r="J33" i="4" s="1"/>
  <c r="K32" i="4"/>
  <c r="J32" i="4"/>
  <c r="K31" i="4"/>
  <c r="D31" i="4"/>
  <c r="J31" i="4" s="1"/>
  <c r="K30" i="4"/>
  <c r="E30" i="4"/>
  <c r="D30" i="4"/>
  <c r="K29" i="4"/>
  <c r="E29" i="4"/>
  <c r="D29" i="4"/>
  <c r="K28" i="4"/>
  <c r="D28" i="4"/>
  <c r="J28" i="4" s="1"/>
  <c r="K27" i="4"/>
  <c r="J27" i="4"/>
  <c r="K26" i="4"/>
  <c r="J26" i="4"/>
  <c r="K25" i="4"/>
  <c r="D25" i="4"/>
  <c r="J25" i="4" s="1"/>
  <c r="K24" i="4"/>
  <c r="D24" i="4"/>
  <c r="J24" i="4" s="1"/>
  <c r="K23" i="4"/>
  <c r="J23" i="4"/>
  <c r="K22" i="4"/>
  <c r="J22" i="4"/>
  <c r="K21" i="4"/>
  <c r="D21" i="4"/>
  <c r="J21" i="4" s="1"/>
  <c r="K20" i="4"/>
  <c r="E20" i="4"/>
  <c r="D20" i="4"/>
  <c r="K19" i="4"/>
  <c r="D19" i="4"/>
  <c r="J19" i="4" s="1"/>
  <c r="K18" i="4"/>
  <c r="J18" i="4"/>
  <c r="K17" i="4"/>
  <c r="D17" i="4"/>
  <c r="J17" i="4" s="1"/>
  <c r="K16" i="4"/>
  <c r="D16" i="4"/>
  <c r="J16" i="4" s="1"/>
  <c r="K15" i="4"/>
  <c r="E15" i="4"/>
  <c r="D15" i="4"/>
  <c r="K14" i="4"/>
  <c r="D14" i="4"/>
  <c r="J14" i="4" s="1"/>
  <c r="K13" i="4"/>
  <c r="D13" i="4"/>
  <c r="J13" i="4" s="1"/>
  <c r="K12" i="4"/>
  <c r="J12" i="4"/>
  <c r="K11" i="4"/>
  <c r="J11" i="4"/>
  <c r="K10" i="4"/>
  <c r="J10" i="4"/>
  <c r="K9" i="4"/>
  <c r="J9" i="4"/>
  <c r="K8" i="4"/>
  <c r="J8" i="4"/>
  <c r="K7" i="4"/>
  <c r="E7" i="4"/>
  <c r="D7" i="4"/>
  <c r="K6" i="4"/>
  <c r="J6" i="4"/>
  <c r="K5" i="4"/>
  <c r="J5" i="4"/>
  <c r="I4" i="4"/>
  <c r="H4" i="4"/>
  <c r="G4" i="4"/>
  <c r="K4" i="4" s="1"/>
  <c r="F4" i="4"/>
  <c r="L4" i="2"/>
  <c r="L5" i="2"/>
  <c r="L6" i="2"/>
  <c r="L7" i="2"/>
  <c r="L9" i="2"/>
  <c r="L10" i="2"/>
  <c r="L11" i="2"/>
  <c r="L12" i="2"/>
  <c r="L18" i="2"/>
  <c r="L19" i="2"/>
  <c r="L20" i="2"/>
  <c r="L21" i="2"/>
  <c r="F14" i="1"/>
  <c r="F13" i="1"/>
  <c r="E13" i="1"/>
  <c r="E14" i="1" s="1"/>
  <c r="D13" i="1"/>
  <c r="D14" i="1" s="1"/>
  <c r="C13" i="1"/>
  <c r="C14" i="1" s="1"/>
  <c r="J34" i="4" l="1"/>
  <c r="J61" i="4"/>
  <c r="J115" i="4"/>
  <c r="J122" i="4"/>
  <c r="L8" i="2"/>
  <c r="J7" i="4"/>
  <c r="J56" i="4"/>
  <c r="J84" i="4"/>
  <c r="J83" i="4"/>
  <c r="J86" i="4"/>
  <c r="J64" i="4"/>
  <c r="J20" i="4"/>
  <c r="J66" i="4"/>
  <c r="J89" i="4"/>
  <c r="J15" i="4"/>
  <c r="J36" i="4"/>
  <c r="J46" i="4"/>
  <c r="J74" i="4"/>
  <c r="E4" i="4"/>
  <c r="F7" i="3" s="1"/>
  <c r="F8" i="3" s="1"/>
  <c r="J30" i="4"/>
  <c r="J52" i="4"/>
  <c r="J127" i="4"/>
  <c r="J43" i="4"/>
  <c r="J118" i="4"/>
  <c r="J35" i="4"/>
  <c r="J99" i="4"/>
  <c r="J29" i="4"/>
  <c r="J76" i="4"/>
  <c r="J79" i="4"/>
  <c r="J90" i="4"/>
  <c r="D4" i="4"/>
  <c r="L28" i="2"/>
  <c r="C7" i="3" s="1"/>
  <c r="C8" i="3" s="1"/>
  <c r="C9" i="3" s="1"/>
  <c r="L3" i="2"/>
  <c r="J4" i="4" l="1"/>
</calcChain>
</file>

<file path=xl/sharedStrings.xml><?xml version="1.0" encoding="utf-8"?>
<sst xmlns="http://schemas.openxmlformats.org/spreadsheetml/2006/main" count="279" uniqueCount="221">
  <si>
    <t>Доходы</t>
  </si>
  <si>
    <t>На конец 2016г.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</si>
  <si>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</si>
  <si>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</si>
  <si>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</si>
  <si>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</si>
  <si>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</si>
  <si>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</si>
  <si>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</si>
  <si>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</si>
  <si>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</si>
  <si>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Остаток на 1.10.17</t>
  </si>
  <si>
    <t>Поступление 2017г.</t>
  </si>
  <si>
    <t>Целевые</t>
  </si>
  <si>
    <t>Штрафы</t>
  </si>
  <si>
    <t>Расходы</t>
  </si>
  <si>
    <t>ФОТ</t>
  </si>
  <si>
    <t>Председатель</t>
  </si>
  <si>
    <t>Бухгалтер</t>
  </si>
  <si>
    <t>Кассир</t>
  </si>
  <si>
    <t>Охрана</t>
  </si>
  <si>
    <t>Период</t>
  </si>
  <si>
    <t>Членские
 взносы</t>
  </si>
  <si>
    <t>НДФЛ</t>
  </si>
  <si>
    <t>НС</t>
  </si>
  <si>
    <t>СВОПС</t>
  </si>
  <si>
    <t>Вывоз мусора</t>
  </si>
  <si>
    <t>Электричество</t>
  </si>
  <si>
    <t>ИТОГО</t>
  </si>
  <si>
    <t>Расход</t>
  </si>
  <si>
    <t>ФАКТ</t>
  </si>
  <si>
    <t>Наличные средства</t>
  </si>
  <si>
    <t>Средства на счетах</t>
  </si>
  <si>
    <t>Целевые взносы</t>
  </si>
  <si>
    <t>ИТОГ</t>
  </si>
  <si>
    <t>Возвраты</t>
  </si>
  <si>
    <t>УЧ.</t>
  </si>
  <si>
    <t>Платеж</t>
  </si>
  <si>
    <t>Дорога</t>
  </si>
  <si>
    <t>Прошлые годы</t>
  </si>
  <si>
    <t>Элек-во</t>
  </si>
  <si>
    <t>ВЗНОСЫ</t>
  </si>
  <si>
    <t>ЦЕЛИ</t>
  </si>
  <si>
    <t>ДОЛГ НАСЕЛЕНИЯ</t>
  </si>
  <si>
    <t>Остатки прошлых лет</t>
  </si>
  <si>
    <t>Взносы факт</t>
  </si>
  <si>
    <t>Взносы план</t>
  </si>
  <si>
    <t>Задолженность</t>
  </si>
  <si>
    <t>Сведение средств</t>
  </si>
  <si>
    <t>Задолженность по взносам</t>
  </si>
  <si>
    <t>Целевые взносы остаток</t>
  </si>
  <si>
    <t>Доход по целевым</t>
  </si>
  <si>
    <t>Доход по членским</t>
  </si>
  <si>
    <t>БАЛАНС</t>
  </si>
  <si>
    <t>ОБЩАЯ ЗАДОЛЖЕННОСТЬ</t>
  </si>
  <si>
    <t>Задолженность прошлых лет</t>
  </si>
  <si>
    <t>Банковское обслуживание</t>
  </si>
  <si>
    <t xml:space="preserve">ИЗ НИХ  </t>
  </si>
  <si>
    <t>ДЕКАБРЬ</t>
  </si>
  <si>
    <t>НОЯБРЬ</t>
  </si>
  <si>
    <t>ОКТЯБРЬ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</si>
  <si>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</si>
  <si>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</si>
  <si>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</si>
  <si>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</si>
  <si>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</si>
  <si>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</si>
  <si>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</si>
  <si>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</si>
  <si>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</si>
  <si>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ВОЗВРАТ</t>
  </si>
  <si>
    <t>МУСОР</t>
  </si>
  <si>
    <t>расх.на эл-во</t>
  </si>
  <si>
    <t>ХОЗ.РАСХ.</t>
  </si>
  <si>
    <t>З/ПЛАТА</t>
  </si>
  <si>
    <t>КАНЦ.РАСХ</t>
  </si>
  <si>
    <t>банк/обл</t>
  </si>
  <si>
    <t>МОБ. СВ</t>
  </si>
  <si>
    <t>МЕСЯЦ</t>
  </si>
  <si>
    <t>Дата</t>
  </si>
  <si>
    <t>Приход средств по кассе за 2017г.</t>
  </si>
  <si>
    <t>Операции</t>
  </si>
  <si>
    <t>Обороты за период</t>
  </si>
  <si>
    <t>Членские Взносы участок №41</t>
  </si>
  <si>
    <t>Членские Взносы участок №12</t>
  </si>
  <si>
    <t>Членские Взносы участок №28</t>
  </si>
  <si>
    <t>Членские Взносы участок №107</t>
  </si>
  <si>
    <t>Членские Взносы участок №61</t>
  </si>
  <si>
    <t>Членские Взносы участок №103</t>
  </si>
  <si>
    <t>Членские Взносы участок №68</t>
  </si>
  <si>
    <t>Членские Взносы участок №94</t>
  </si>
  <si>
    <t>Членские Взносы участок №22</t>
  </si>
  <si>
    <t>Членские Взносы участок №77</t>
  </si>
  <si>
    <t>Членские Взносы участок №113</t>
  </si>
  <si>
    <t>Членские Взносы участок №108</t>
  </si>
  <si>
    <t>Членские Взносы участок №7</t>
  </si>
  <si>
    <t>Членские Взносы участок №14</t>
  </si>
  <si>
    <t>Членские Взносы участок №92</t>
  </si>
  <si>
    <t>Членские Взносы участок №84</t>
  </si>
  <si>
    <t>Членские Взносы участок №55</t>
  </si>
  <si>
    <t>Членские Взносы участок №1</t>
  </si>
  <si>
    <t>Членские Взносы участок №2</t>
  </si>
  <si>
    <t>Членские Взносы участок №118</t>
  </si>
  <si>
    <t>Членские Взносы участок №90</t>
  </si>
  <si>
    <t>Членские Взносы участок №95</t>
  </si>
  <si>
    <t>Членские Взносы участок №98</t>
  </si>
  <si>
    <t>Членские Взносы участок №99</t>
  </si>
  <si>
    <t>Членские Взносы участок №91</t>
  </si>
  <si>
    <t>Членские Взносы участок №76</t>
  </si>
  <si>
    <t>Членские Взносы участок №58</t>
  </si>
  <si>
    <t>Членские Взносы участок №65</t>
  </si>
  <si>
    <t>Членские Взносы участок №66</t>
  </si>
  <si>
    <t>Членские Взносы участок №53</t>
  </si>
  <si>
    <t>Членские Взносы участок №110</t>
  </si>
  <si>
    <t>Членские Взносы участок №60</t>
  </si>
  <si>
    <t>Членские Взносы участок №121</t>
  </si>
  <si>
    <t>Членские Взносы участок №54</t>
  </si>
  <si>
    <t>Членские Взносы участок №23</t>
  </si>
  <si>
    <t>Членские Взносы участок №116</t>
  </si>
  <si>
    <t>Членские Взносы участок №59</t>
  </si>
  <si>
    <t>Членские Взносы участок №63</t>
  </si>
  <si>
    <t>Членские Взносы участок №64</t>
  </si>
  <si>
    <t>Членские Взносы участок №101</t>
  </si>
  <si>
    <t>Членские Взносы участок №102</t>
  </si>
  <si>
    <t>Членские Взносы участок №97</t>
  </si>
  <si>
    <t>Членские Взносы участок №38</t>
  </si>
  <si>
    <t>Членские Взносы участок №35</t>
  </si>
  <si>
    <t>Членские Взносы участок №89</t>
  </si>
  <si>
    <t>Членские Взносы участок №78</t>
  </si>
  <si>
    <t>Членские Взносы участок №69</t>
  </si>
  <si>
    <t>Членские Взносы участок №51</t>
  </si>
  <si>
    <t>Членские Взносы участок №49</t>
  </si>
  <si>
    <t>Членские Взносы участок №4</t>
  </si>
  <si>
    <t>Членские Взносы участок №73</t>
  </si>
  <si>
    <t>Членские Взносы участок №111</t>
  </si>
  <si>
    <t>Членские Взносы участок №33</t>
  </si>
  <si>
    <t>Членские Взносы участок №46</t>
  </si>
  <si>
    <t>Членские Взносы участок №44</t>
  </si>
  <si>
    <t>Членские Взносы участок №117</t>
  </si>
  <si>
    <t>Членские Взносы участок №120</t>
  </si>
  <si>
    <t>Членские Взносы участок №37</t>
  </si>
  <si>
    <t>Членские Взносы участок №48</t>
  </si>
  <si>
    <t>Членские Взносы участок №50</t>
  </si>
  <si>
    <t>Членские Взносы участок №9</t>
  </si>
  <si>
    <t>Членские Взносы участок №10</t>
  </si>
  <si>
    <t>Членские Взносы участок №15</t>
  </si>
  <si>
    <t>Членские Взносы участок №8</t>
  </si>
  <si>
    <t>Целевой взнос участок №78</t>
  </si>
  <si>
    <t>Штраф за ремонт ворот участок №69</t>
  </si>
  <si>
    <t>Взносы</t>
  </si>
  <si>
    <t>Прочие</t>
  </si>
  <si>
    <t>НАЛОГ ФОТ</t>
  </si>
  <si>
    <t>Мобильная связь</t>
  </si>
  <si>
    <t>Кацелярские расходы</t>
  </si>
  <si>
    <t>Транспортные расходы</t>
  </si>
  <si>
    <t>Оплата мусора</t>
  </si>
  <si>
    <t>Чек/Бумага</t>
  </si>
  <si>
    <t>Проезд/билеты</t>
  </si>
  <si>
    <t>Опл.телефона</t>
  </si>
  <si>
    <t xml:space="preserve">Роликов.опоры </t>
  </si>
  <si>
    <t>Запр.картридж</t>
  </si>
  <si>
    <t>проезд на транспорте</t>
  </si>
  <si>
    <t>Взносы в Союз Садоводов</t>
  </si>
  <si>
    <t>Оплата вывоза мусора</t>
  </si>
  <si>
    <t>Канц.товары</t>
  </si>
  <si>
    <t>Оплата телефона</t>
  </si>
  <si>
    <t>Госпошл.(Устав)</t>
  </si>
  <si>
    <t>Госпошл.(Проток)</t>
  </si>
  <si>
    <t>Госпошл.(ЕГРЮЛ)</t>
  </si>
  <si>
    <t>Оплата э/энергии</t>
  </si>
  <si>
    <t>Коммисия оплаты</t>
  </si>
  <si>
    <t>Налоги и пошлины</t>
  </si>
  <si>
    <t>Налог на землю</t>
  </si>
  <si>
    <t>Госпошлины</t>
  </si>
  <si>
    <t>Оплата э/энер.</t>
  </si>
  <si>
    <t xml:space="preserve">Оплата телефона </t>
  </si>
  <si>
    <t>Интернет</t>
  </si>
  <si>
    <t>Ремонт ворот</t>
  </si>
  <si>
    <t>Текущий ремонт и обустройство</t>
  </si>
  <si>
    <t>проезд на тран</t>
  </si>
  <si>
    <t>Лицен.д.WEB</t>
  </si>
  <si>
    <t>Мусор</t>
  </si>
  <si>
    <t>Комиссия</t>
  </si>
  <si>
    <t>Леска для косилки</t>
  </si>
  <si>
    <t>Телефон</t>
  </si>
  <si>
    <t>Леска 2шт.</t>
  </si>
  <si>
    <t>26.06.2017</t>
  </si>
  <si>
    <t>Э/энерг.(июнь)</t>
  </si>
  <si>
    <t>23.06.2017</t>
  </si>
  <si>
    <t>Э/энерг.(май)</t>
  </si>
  <si>
    <t>Хоз. Инструмент и расходник</t>
  </si>
  <si>
    <t>Леска</t>
  </si>
  <si>
    <t>Масло STK</t>
  </si>
  <si>
    <t>Оплата МУСОРА</t>
  </si>
  <si>
    <t>Связь</t>
  </si>
  <si>
    <t>Госпошлина(выписка)</t>
  </si>
  <si>
    <t>Комиссия(выписка)</t>
  </si>
  <si>
    <t>Плата по договорам</t>
  </si>
  <si>
    <t>Телеф.связь</t>
  </si>
  <si>
    <t>Леска ЕСНО</t>
  </si>
  <si>
    <t>Детализация расходов</t>
  </si>
  <si>
    <t>Лопата для уборки снега</t>
  </si>
  <si>
    <t>Бензин для мотокосы</t>
  </si>
  <si>
    <t>ДОГОВОР на работы покос травы</t>
  </si>
  <si>
    <t>Топл.фильтр для косы</t>
  </si>
  <si>
    <t>Кос.головка для косы</t>
  </si>
  <si>
    <t>Таблички с адресами</t>
  </si>
  <si>
    <t>Труба профильная для табличек</t>
  </si>
  <si>
    <t>Полоска желез. Для табличек</t>
  </si>
  <si>
    <t>Операция</t>
  </si>
  <si>
    <t>Сумма</t>
  </si>
  <si>
    <t>Хозяйственные нужды</t>
  </si>
  <si>
    <t>нал/пош</t>
  </si>
  <si>
    <t xml:space="preserve">         РАСХОД  ВЗНОСОВ ПО КАССЕ ЗА 2017 ГОД</t>
  </si>
  <si>
    <t>Всего за на отчетный переод</t>
  </si>
  <si>
    <t>Бензокоса Honda</t>
  </si>
  <si>
    <t>Договор на уничтожение борщевика</t>
  </si>
  <si>
    <t>Договор на работы по покосу травы, обрезание деревьев и ремонт дороги</t>
  </si>
  <si>
    <t>Сводные показатели на 30.09.2017</t>
  </si>
  <si>
    <t>Вступительный
 взнос</t>
  </si>
  <si>
    <t>Комиссии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</si>
</sst>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0.00;[Red]0.00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2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Arial Cyr"/>
      <family val="2"/>
      <charset val="204"/>
    </font>
    <font>
      <sz val="1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5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1" fillId="0" borderId="1" xfId="0" applyFont="1" applyBorder="1"/>
    <xf numFmtId="44" fontId="1" fillId="0" borderId="1" xfId="0" applyNumberFormat="1" applyFont="1" applyBorder="1"/>
    <xf numFmtId="0" fontId="2" fillId="0" borderId="0" xfId="1"/>
    <xf numFmtId="0" fontId="3" fillId="0" borderId="0" xfId="1" applyFont="1"/>
    <xf numFmtId="0" fontId="2" fillId="0" borderId="0" xfId="1"/>
    <xf numFmtId="0" fontId="3" fillId="0" borderId="0" xfId="1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0" fillId="2" borderId="1" xfId="0" applyNumberFormat="1" applyFill="1" applyBorder="1"/>
    <xf numFmtId="0" fontId="1" fillId="3" borderId="1" xfId="0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0" fillId="0" borderId="1" xfId="0" applyFill="1" applyBorder="1"/>
    <xf numFmtId="0" fontId="0" fillId="4" borderId="1" xfId="0" applyFill="1" applyBorder="1"/>
    <xf numFmtId="0" fontId="1" fillId="0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0" borderId="6" xfId="0" applyFill="1" applyBorder="1"/>
    <xf numFmtId="0" fontId="1" fillId="4" borderId="8" xfId="0" applyFont="1" applyFill="1" applyBorder="1"/>
    <xf numFmtId="44" fontId="1" fillId="4" borderId="8" xfId="0" applyNumberFormat="1" applyFont="1" applyFill="1" applyBorder="1"/>
    <xf numFmtId="0" fontId="1" fillId="4" borderId="7" xfId="0" applyFont="1" applyFill="1" applyBorder="1"/>
    <xf numFmtId="44" fontId="1" fillId="4" borderId="7" xfId="0" applyNumberFormat="1" applyFont="1" applyFill="1" applyBorder="1"/>
    <xf numFmtId="0" fontId="1" fillId="7" borderId="9" xfId="0" applyFont="1" applyFill="1" applyBorder="1"/>
    <xf numFmtId="44" fontId="1" fillId="7" borderId="10" xfId="0" applyNumberFormat="1" applyFont="1" applyFill="1" applyBorder="1"/>
    <xf numFmtId="0" fontId="1" fillId="0" borderId="0" xfId="0" applyFont="1" applyFill="1" applyBorder="1"/>
    <xf numFmtId="44" fontId="1" fillId="0" borderId="0" xfId="0" applyNumberFormat="1" applyFont="1" applyFill="1" applyBorder="1"/>
    <xf numFmtId="0" fontId="0" fillId="0" borderId="0" xfId="0" applyBorder="1"/>
    <xf numFmtId="164" fontId="6" fillId="0" borderId="0" xfId="0" applyNumberFormat="1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/>
    <xf numFmtId="0" fontId="10" fillId="0" borderId="0" xfId="0" applyFont="1"/>
    <xf numFmtId="0" fontId="0" fillId="0" borderId="0" xfId="0" applyFill="1"/>
    <xf numFmtId="14" fontId="11" fillId="8" borderId="14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left" wrapText="1"/>
    </xf>
    <xf numFmtId="14" fontId="11" fillId="8" borderId="15" xfId="0" applyNumberFormat="1" applyFont="1" applyFill="1" applyBorder="1" applyAlignment="1">
      <alignment horizontal="center"/>
    </xf>
    <xf numFmtId="0" fontId="11" fillId="8" borderId="5" xfId="0" applyFont="1" applyFill="1" applyBorder="1" applyAlignment="1">
      <alignment horizontal="left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vertical="center" wrapText="1"/>
    </xf>
    <xf numFmtId="4" fontId="11" fillId="8" borderId="17" xfId="0" applyNumberFormat="1" applyFont="1" applyFill="1" applyBorder="1" applyAlignment="1">
      <alignment horizontal="right"/>
    </xf>
    <xf numFmtId="4" fontId="11" fillId="8" borderId="18" xfId="0" applyNumberFormat="1" applyFont="1" applyFill="1" applyBorder="1" applyAlignment="1">
      <alignment horizontal="right"/>
    </xf>
    <xf numFmtId="4" fontId="11" fillId="8" borderId="19" xfId="0" applyNumberFormat="1" applyFont="1" applyFill="1" applyBorder="1" applyAlignment="1">
      <alignment horizontal="center" vertical="center" wrapText="1"/>
    </xf>
    <xf numFmtId="4" fontId="11" fillId="8" borderId="20" xfId="0" applyNumberFormat="1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4" fontId="11" fillId="9" borderId="16" xfId="0" applyNumberFormat="1" applyFont="1" applyFill="1" applyBorder="1" applyAlignment="1">
      <alignment horizontal="right"/>
    </xf>
    <xf numFmtId="4" fontId="11" fillId="9" borderId="13" xfId="0" applyNumberFormat="1" applyFont="1" applyFill="1" applyBorder="1" applyAlignment="1">
      <alignment horizontal="right"/>
    </xf>
    <xf numFmtId="14" fontId="11" fillId="8" borderId="22" xfId="0" applyNumberFormat="1" applyFont="1" applyFill="1" applyBorder="1" applyAlignment="1">
      <alignment horizontal="center"/>
    </xf>
    <xf numFmtId="0" fontId="11" fillId="8" borderId="11" xfId="0" applyFont="1" applyFill="1" applyBorder="1" applyAlignment="1">
      <alignment horizontal="left" wrapText="1"/>
    </xf>
    <xf numFmtId="4" fontId="11" fillId="8" borderId="23" xfId="0" applyNumberFormat="1" applyFont="1" applyFill="1" applyBorder="1" applyAlignment="1">
      <alignment horizontal="right"/>
    </xf>
    <xf numFmtId="0" fontId="11" fillId="8" borderId="22" xfId="0" applyFont="1" applyFill="1" applyBorder="1" applyAlignment="1">
      <alignment horizontal="center" vertical="center" wrapText="1"/>
    </xf>
    <xf numFmtId="4" fontId="11" fillId="8" borderId="24" xfId="0" applyNumberFormat="1" applyFont="1" applyFill="1" applyBorder="1" applyAlignment="1">
      <alignment horizontal="center" vertical="center" wrapText="1"/>
    </xf>
    <xf numFmtId="44" fontId="0" fillId="0" borderId="1" xfId="0" applyNumberFormat="1" applyFill="1" applyBorder="1"/>
    <xf numFmtId="44" fontId="0" fillId="0" borderId="1" xfId="0" applyNumberFormat="1" applyFill="1" applyBorder="1" applyAlignment="1">
      <alignment horizontal="left" indent="2"/>
    </xf>
    <xf numFmtId="0" fontId="0" fillId="0" borderId="0" xfId="0" applyFont="1"/>
    <xf numFmtId="0" fontId="3" fillId="9" borderId="25" xfId="0" applyFont="1" applyFill="1" applyBorder="1" applyAlignment="1">
      <alignment horizontal="center"/>
    </xf>
    <xf numFmtId="14" fontId="12" fillId="0" borderId="14" xfId="0" applyNumberFormat="1" applyFont="1" applyBorder="1" applyAlignment="1"/>
    <xf numFmtId="14" fontId="12" fillId="0" borderId="14" xfId="0" applyNumberFormat="1" applyFont="1" applyBorder="1" applyAlignment="1">
      <alignment horizontal="right"/>
    </xf>
    <xf numFmtId="14" fontId="12" fillId="0" borderId="26" xfId="0" applyNumberFormat="1" applyFont="1" applyBorder="1" applyAlignment="1"/>
    <xf numFmtId="0" fontId="12" fillId="0" borderId="14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12" fillId="0" borderId="14" xfId="0" applyFont="1" applyBorder="1" applyAlignment="1"/>
    <xf numFmtId="0" fontId="12" fillId="0" borderId="26" xfId="0" applyFont="1" applyBorder="1" applyAlignment="1"/>
    <xf numFmtId="44" fontId="0" fillId="0" borderId="0" xfId="0" applyNumberFormat="1"/>
    <xf numFmtId="0" fontId="13" fillId="0" borderId="0" xfId="0" applyFont="1"/>
    <xf numFmtId="164" fontId="0" fillId="0" borderId="0" xfId="0" applyNumberFormat="1"/>
    <xf numFmtId="44" fontId="0" fillId="0" borderId="1" xfId="0" applyNumberFormat="1" applyFont="1" applyBorder="1"/>
    <xf numFmtId="44" fontId="0" fillId="10" borderId="1" xfId="0" applyNumberFormat="1" applyFont="1" applyFill="1" applyBorder="1"/>
    <xf numFmtId="164" fontId="3" fillId="9" borderId="8" xfId="0" applyNumberFormat="1" applyFont="1" applyFill="1" applyBorder="1"/>
    <xf numFmtId="44" fontId="0" fillId="0" borderId="27" xfId="0" applyNumberFormat="1" applyFont="1" applyBorder="1"/>
    <xf numFmtId="44" fontId="3" fillId="0" borderId="28" xfId="0" applyNumberFormat="1" applyFont="1" applyBorder="1"/>
    <xf numFmtId="44" fontId="0" fillId="10" borderId="0" xfId="0" applyNumberFormat="1" applyFont="1" applyFill="1" applyBorder="1"/>
    <xf numFmtId="44" fontId="0" fillId="10" borderId="29" xfId="0" applyNumberFormat="1" applyFont="1" applyFill="1" applyBorder="1"/>
    <xf numFmtId="44" fontId="0" fillId="0" borderId="29" xfId="0" applyNumberFormat="1" applyFont="1" applyBorder="1"/>
    <xf numFmtId="44" fontId="3" fillId="0" borderId="29" xfId="0" applyNumberFormat="1" applyFont="1" applyBorder="1"/>
    <xf numFmtId="44" fontId="0" fillId="0" borderId="7" xfId="0" applyNumberFormat="1" applyFont="1" applyBorder="1"/>
    <xf numFmtId="44" fontId="3" fillId="0" borderId="30" xfId="0" applyNumberFormat="1" applyFont="1" applyBorder="1"/>
    <xf numFmtId="0" fontId="6" fillId="0" borderId="31" xfId="0" applyFont="1" applyBorder="1"/>
    <xf numFmtId="0" fontId="6" fillId="0" borderId="31" xfId="0" applyFont="1" applyBorder="1" applyAlignment="1">
      <alignment wrapText="1"/>
    </xf>
    <xf numFmtId="0" fontId="6" fillId="0" borderId="10" xfId="0" applyFont="1" applyBorder="1"/>
    <xf numFmtId="0" fontId="6" fillId="0" borderId="32" xfId="0" applyFont="1" applyBorder="1"/>
    <xf numFmtId="44" fontId="0" fillId="0" borderId="33" xfId="0" applyNumberFormat="1" applyFont="1" applyBorder="1"/>
    <xf numFmtId="44" fontId="0" fillId="10" borderId="4" xfId="0" applyNumberFormat="1" applyFont="1" applyFill="1" applyBorder="1"/>
    <xf numFmtId="44" fontId="0" fillId="0" borderId="4" xfId="0" applyNumberFormat="1" applyFont="1" applyBorder="1"/>
    <xf numFmtId="44" fontId="0" fillId="0" borderId="34" xfId="0" applyNumberFormat="1" applyFont="1" applyBorder="1"/>
    <xf numFmtId="164" fontId="3" fillId="9" borderId="35" xfId="0" applyNumberFormat="1" applyFont="1" applyFill="1" applyBorder="1"/>
    <xf numFmtId="0" fontId="6" fillId="0" borderId="13" xfId="0" applyFont="1" applyBorder="1"/>
    <xf numFmtId="0" fontId="0" fillId="0" borderId="25" xfId="0" applyFont="1" applyBorder="1"/>
    <xf numFmtId="0" fontId="3" fillId="10" borderId="14" xfId="0" applyFont="1" applyFill="1" applyBorder="1"/>
    <xf numFmtId="0" fontId="3" fillId="0" borderId="14" xfId="0" applyFont="1" applyBorder="1"/>
    <xf numFmtId="0" fontId="3" fillId="0" borderId="26" xfId="0" applyFont="1" applyBorder="1"/>
    <xf numFmtId="0" fontId="3" fillId="9" borderId="22" xfId="0" applyFont="1" applyFill="1" applyBorder="1"/>
    <xf numFmtId="0" fontId="14" fillId="0" borderId="0" xfId="0" applyFont="1"/>
    <xf numFmtId="0" fontId="15" fillId="0" borderId="1" xfId="3" applyBorder="1"/>
    <xf numFmtId="44" fontId="15" fillId="4" borderId="1" xfId="3" applyNumberFormat="1" applyFill="1" applyBorder="1"/>
    <xf numFmtId="44" fontId="15" fillId="0" borderId="1" xfId="3" applyNumberFormat="1" applyBorder="1"/>
    <xf numFmtId="44" fontId="0" fillId="0" borderId="36" xfId="0" applyNumberFormat="1" applyFill="1" applyBorder="1"/>
    <xf numFmtId="44" fontId="1" fillId="4" borderId="31" xfId="0" applyNumberFormat="1" applyFont="1" applyFill="1" applyBorder="1"/>
    <xf numFmtId="44" fontId="1" fillId="2" borderId="8" xfId="0" applyNumberFormat="1" applyFont="1" applyFill="1" applyBorder="1"/>
    <xf numFmtId="0" fontId="0" fillId="0" borderId="31" xfId="0" applyBorder="1"/>
    <xf numFmtId="0" fontId="0" fillId="0" borderId="32" xfId="0" applyBorder="1"/>
    <xf numFmtId="44" fontId="1" fillId="2" borderId="35" xfId="0" applyNumberFormat="1" applyFont="1" applyFill="1" applyBorder="1"/>
    <xf numFmtId="44" fontId="0" fillId="0" borderId="4" xfId="0" applyNumberFormat="1" applyBorder="1"/>
    <xf numFmtId="44" fontId="0" fillId="2" borderId="4" xfId="0" applyNumberFormat="1" applyFill="1" applyBorder="1"/>
    <xf numFmtId="44" fontId="0" fillId="0" borderId="4" xfId="0" applyNumberFormat="1" applyFill="1" applyBorder="1" applyAlignment="1">
      <alignment horizontal="left" indent="2"/>
    </xf>
    <xf numFmtId="44" fontId="0" fillId="0" borderId="4" xfId="0" applyNumberFormat="1" applyFill="1" applyBorder="1"/>
    <xf numFmtId="44" fontId="0" fillId="0" borderId="37" xfId="0" applyNumberFormat="1" applyFill="1" applyBorder="1"/>
    <xf numFmtId="44" fontId="1" fillId="4" borderId="32" xfId="0" applyNumberFormat="1" applyFont="1" applyFill="1" applyBorder="1"/>
    <xf numFmtId="0" fontId="0" fillId="0" borderId="13" xfId="0" applyBorder="1"/>
    <xf numFmtId="0" fontId="1" fillId="2" borderId="15" xfId="0" applyFont="1" applyFill="1" applyBorder="1"/>
    <xf numFmtId="0" fontId="0" fillId="0" borderId="14" xfId="0" applyBorder="1" applyAlignment="1">
      <alignment horizontal="left" indent="2"/>
    </xf>
    <xf numFmtId="0" fontId="0" fillId="2" borderId="14" xfId="0" applyFill="1" applyBorder="1" applyAlignment="1">
      <alignment horizontal="left" indent="2"/>
    </xf>
    <xf numFmtId="0" fontId="0" fillId="0" borderId="14" xfId="0" applyBorder="1" applyAlignment="1">
      <alignment horizontal="left" indent="4"/>
    </xf>
    <xf numFmtId="0" fontId="1" fillId="2" borderId="14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 indent="2"/>
    </xf>
    <xf numFmtId="0" fontId="0" fillId="2" borderId="14" xfId="0" applyFill="1" applyBorder="1" applyAlignment="1">
      <alignment horizontal="left"/>
    </xf>
    <xf numFmtId="0" fontId="0" fillId="2" borderId="14" xfId="0" applyFill="1" applyBorder="1"/>
    <xf numFmtId="0" fontId="15" fillId="2" borderId="14" xfId="3" applyFill="1" applyBorder="1"/>
    <xf numFmtId="0" fontId="0" fillId="0" borderId="14" xfId="0" applyFill="1" applyBorder="1" applyAlignment="1">
      <alignment horizontal="left" indent="2"/>
    </xf>
    <xf numFmtId="0" fontId="0" fillId="0" borderId="38" xfId="0" applyFill="1" applyBorder="1" applyAlignment="1">
      <alignment horizontal="left" indent="2"/>
    </xf>
    <xf numFmtId="0" fontId="1" fillId="4" borderId="13" xfId="0" applyFont="1" applyFill="1" applyBorder="1"/>
    <xf numFmtId="0" fontId="0" fillId="0" borderId="21" xfId="0" applyBorder="1"/>
    <xf numFmtId="44" fontId="1" fillId="2" borderId="39" xfId="0" applyNumberFormat="1" applyFont="1" applyFill="1" applyBorder="1"/>
    <xf numFmtId="44" fontId="0" fillId="0" borderId="2" xfId="0" applyNumberFormat="1" applyBorder="1"/>
    <xf numFmtId="44" fontId="0" fillId="2" borderId="2" xfId="0" applyNumberFormat="1" applyFill="1" applyBorder="1"/>
    <xf numFmtId="44" fontId="0" fillId="0" borderId="2" xfId="0" applyNumberFormat="1" applyFill="1" applyBorder="1" applyAlignment="1">
      <alignment horizontal="left" indent="2"/>
    </xf>
    <xf numFmtId="44" fontId="0" fillId="0" borderId="2" xfId="0" applyNumberFormat="1" applyFill="1" applyBorder="1"/>
    <xf numFmtId="44" fontId="0" fillId="0" borderId="40" xfId="0" applyNumberFormat="1" applyFill="1" applyBorder="1"/>
    <xf numFmtId="44" fontId="1" fillId="4" borderId="21" xfId="0" applyNumberFormat="1" applyFont="1" applyFill="1" applyBorder="1"/>
    <xf numFmtId="0" fontId="1" fillId="0" borderId="13" xfId="0" applyFont="1" applyBorder="1"/>
    <xf numFmtId="44" fontId="1" fillId="2" borderId="15" xfId="0" applyNumberFormat="1" applyFont="1" applyFill="1" applyBorder="1"/>
    <xf numFmtId="44" fontId="1" fillId="0" borderId="14" xfId="0" applyNumberFormat="1" applyFont="1" applyBorder="1"/>
    <xf numFmtId="44" fontId="1" fillId="2" borderId="14" xfId="0" applyNumberFormat="1" applyFont="1" applyFill="1" applyBorder="1"/>
    <xf numFmtId="44" fontId="1" fillId="0" borderId="14" xfId="0" applyNumberFormat="1" applyFont="1" applyFill="1" applyBorder="1" applyAlignment="1">
      <alignment horizontal="left" indent="2"/>
    </xf>
    <xf numFmtId="44" fontId="1" fillId="0" borderId="14" xfId="0" applyNumberFormat="1" applyFont="1" applyFill="1" applyBorder="1"/>
    <xf numFmtId="44" fontId="0" fillId="0" borderId="38" xfId="0" applyNumberFormat="1" applyFill="1" applyBorder="1"/>
    <xf numFmtId="44" fontId="1" fillId="5" borderId="13" xfId="0" applyNumberFormat="1" applyFont="1" applyFill="1" applyBorder="1"/>
    <xf numFmtId="0" fontId="1" fillId="0" borderId="5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9" borderId="9" xfId="0" applyFont="1" applyFill="1" applyBorder="1" applyAlignment="1">
      <alignment horizontal="left"/>
    </xf>
    <xf numFmtId="0" fontId="11" fillId="9" borderId="21" xfId="0" applyFont="1" applyFill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4">
    <cellStyle name="Гиперссылка" xfId="3" builtinId="8"/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showRowColHeaders="0" tabSelected="1" workbookViewId="0">
      <selection activeCell="A21" sqref="A21"/>
    </sheetView>
  </sheetViews>
  <sheetFormatPr defaultRowHeight="15" x14ac:dyDescent="0.25"/>
  <cols>
    <col min="1" max="1" width="20.140625" customWidth="1"/>
    <col min="2" max="2" width="23.140625" customWidth="1"/>
    <col min="3" max="3" width="13.140625" bestFit="1" customWidth="1"/>
    <col min="5" max="5" width="29.140625" customWidth="1"/>
    <col min="6" max="6" width="13.140625" bestFit="1" customWidth="1"/>
  </cols>
  <sheetData>
    <row r="1" spans="2:6" ht="56.25" customHeight="1" x14ac:dyDescent="0.25">
      <c r="B1" s="146" t="s">
        <v>218</v>
      </c>
      <c r="C1" s="146"/>
      <c r="D1" s="146"/>
      <c r="E1" s="146"/>
      <c r="F1" s="146"/>
    </row>
    <row r="2" spans="2:6" x14ac:dyDescent="0.25">
      <c r="B2" s="145" t="s">
        <v>48</v>
      </c>
      <c r="C2" s="145"/>
      <c r="E2" s="145" t="s">
        <v>49</v>
      </c>
      <c r="F2" s="145"/>
    </row>
    <row r="3" spans="2:6" x14ac:dyDescent="0.25">
      <c r="B3" s="1" t="s">
        <v>44</v>
      </c>
      <c r="C3" s="2">
        <f>Доходы!C3</f>
        <v>189713.32</v>
      </c>
      <c r="E3" s="1" t="s">
        <v>46</v>
      </c>
      <c r="F3" s="2">
        <f>SUM('Задолженость по взносам'!C:C)*9</f>
        <v>901224</v>
      </c>
    </row>
    <row r="4" spans="2:6" x14ac:dyDescent="0.25">
      <c r="B4" s="1" t="s">
        <v>52</v>
      </c>
      <c r="C4" s="103">
        <f>Доходы!C13+Доходы!E14+Доходы!F14</f>
        <v>534161</v>
      </c>
      <c r="E4" s="1" t="s">
        <v>45</v>
      </c>
      <c r="F4" s="103">
        <f>Доходы!C13</f>
        <v>527661</v>
      </c>
    </row>
    <row r="5" spans="2:6" x14ac:dyDescent="0.25">
      <c r="B5" s="1" t="s">
        <v>50</v>
      </c>
      <c r="C5" s="2">
        <f>Доходы!D3</f>
        <v>27500</v>
      </c>
      <c r="E5" s="15" t="s">
        <v>47</v>
      </c>
      <c r="F5" s="102">
        <f>F3-F4</f>
        <v>373563</v>
      </c>
    </row>
    <row r="6" spans="2:6" x14ac:dyDescent="0.25">
      <c r="B6" s="22" t="s">
        <v>51</v>
      </c>
      <c r="C6" s="2">
        <f>Доходы!D13</f>
        <v>8000</v>
      </c>
    </row>
    <row r="7" spans="2:6" x14ac:dyDescent="0.25">
      <c r="B7" s="1" t="s">
        <v>29</v>
      </c>
      <c r="C7" s="103">
        <f>Расходы!L28</f>
        <v>634611.48</v>
      </c>
      <c r="E7" s="1" t="s">
        <v>55</v>
      </c>
      <c r="F7" s="2">
        <f>'Задолженость по взносам'!E4+'Задолженость по взносам'!F4</f>
        <v>512224</v>
      </c>
    </row>
    <row r="8" spans="2:6" ht="15.75" thickBot="1" x14ac:dyDescent="0.3">
      <c r="B8" s="25" t="s">
        <v>34</v>
      </c>
      <c r="C8" s="26">
        <f>SUM(C3:C6)-C7</f>
        <v>124762.84000000008</v>
      </c>
      <c r="E8" s="15" t="s">
        <v>54</v>
      </c>
      <c r="F8" s="16">
        <f>F7+F5</f>
        <v>885787</v>
      </c>
    </row>
    <row r="9" spans="2:6" ht="15.75" thickBot="1" x14ac:dyDescent="0.3">
      <c r="B9" s="27" t="s">
        <v>53</v>
      </c>
      <c r="C9" s="28">
        <f>C8-C10</f>
        <v>-90.919999999910942</v>
      </c>
      <c r="E9" s="29"/>
      <c r="F9" s="30"/>
    </row>
    <row r="10" spans="2:6" x14ac:dyDescent="0.25">
      <c r="B10" s="23" t="s">
        <v>30</v>
      </c>
      <c r="C10" s="24">
        <f>SUM(C11:C13)</f>
        <v>124853.75999999999</v>
      </c>
    </row>
    <row r="11" spans="2:6" x14ac:dyDescent="0.25">
      <c r="B11" s="1" t="s">
        <v>31</v>
      </c>
      <c r="C11" s="2">
        <v>38186.039999999994</v>
      </c>
    </row>
    <row r="12" spans="2:6" x14ac:dyDescent="0.25">
      <c r="B12" s="1" t="s">
        <v>32</v>
      </c>
      <c r="C12" s="2">
        <v>51167.72</v>
      </c>
    </row>
    <row r="13" spans="2:6" x14ac:dyDescent="0.25">
      <c r="B13" s="1" t="s">
        <v>33</v>
      </c>
      <c r="C13" s="2">
        <v>35500</v>
      </c>
    </row>
  </sheetData>
  <mergeCells count="3">
    <mergeCell ref="B2:C2"/>
    <mergeCell ref="E2:F2"/>
    <mergeCell ref="B1:F1"/>
  </mergeCells>
  <hyperlinks>
    <hyperlink ref="F5" location="'Задолженость по взносам'!A1" display="'Задолженость по взносам'!A1"/>
    <hyperlink ref="C7" location="Расходы!A1" display="Расходы!A1"/>
    <hyperlink ref="C4" location="Доходы!A1" display="Доходы!A1"/>
    <hyperlink ref="F4" location="'Приход по кассе'!A1" display="'Приход по кассе'!A1"/>
  </hyperlink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showGridLines="0" showRowColHeaders="0" workbookViewId="0">
      <selection activeCell="E18" sqref="E18"/>
    </sheetView>
  </sheetViews>
  <sheetFormatPr defaultRowHeight="15" x14ac:dyDescent="0.25"/>
  <cols>
    <col min="1" max="1" width="21.5703125" customWidth="1"/>
    <col min="2" max="2" width="20.28515625" customWidth="1"/>
    <col min="3" max="6" width="16.140625" customWidth="1"/>
    <col min="7" max="7" width="13.42578125" customWidth="1"/>
    <col min="8" max="8" width="10.140625" customWidth="1"/>
  </cols>
  <sheetData>
    <row r="1" spans="2:18" ht="28.5" x14ac:dyDescent="0.45">
      <c r="B1" s="147" t="s">
        <v>0</v>
      </c>
      <c r="C1" s="147"/>
      <c r="D1" s="147"/>
      <c r="E1" s="147"/>
      <c r="F1" s="147"/>
    </row>
    <row r="2" spans="2:18" ht="34.5" customHeight="1" x14ac:dyDescent="0.25">
      <c r="B2" s="9" t="s">
        <v>21</v>
      </c>
      <c r="C2" s="10" t="s">
        <v>22</v>
      </c>
      <c r="D2" s="11" t="s">
        <v>13</v>
      </c>
      <c r="E2" s="11" t="s">
        <v>14</v>
      </c>
      <c r="F2" s="12" t="s">
        <v>219</v>
      </c>
    </row>
    <row r="3" spans="2:18" ht="15.75" x14ac:dyDescent="0.25">
      <c r="B3" s="1" t="s">
        <v>1</v>
      </c>
      <c r="C3" s="2">
        <f>185512.1+4201.22</f>
        <v>189713.32</v>
      </c>
      <c r="D3" s="2">
        <v>27500</v>
      </c>
      <c r="E3" s="2"/>
      <c r="F3" s="2"/>
      <c r="G3" s="8"/>
      <c r="H3" s="8"/>
      <c r="I3" s="8"/>
      <c r="J3" s="8"/>
      <c r="K3" s="8"/>
      <c r="L3" s="8"/>
      <c r="M3" s="8"/>
      <c r="N3" s="8"/>
      <c r="O3" s="7"/>
      <c r="P3" s="8"/>
      <c r="Q3" s="8"/>
      <c r="R3" s="8"/>
    </row>
    <row r="4" spans="2:18" ht="15.75" x14ac:dyDescent="0.25">
      <c r="B4" s="1" t="s">
        <v>2</v>
      </c>
      <c r="C4" s="2">
        <v>23530</v>
      </c>
      <c r="D4" s="2"/>
      <c r="E4" s="2"/>
      <c r="F4" s="2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</row>
    <row r="5" spans="2:18" ht="15.75" x14ac:dyDescent="0.25">
      <c r="B5" s="1" t="s">
        <v>3</v>
      </c>
      <c r="C5" s="2">
        <v>8128</v>
      </c>
      <c r="D5" s="2"/>
      <c r="E5" s="2"/>
      <c r="F5" s="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ht="15.75" x14ac:dyDescent="0.25">
      <c r="B6" s="1" t="s">
        <v>4</v>
      </c>
      <c r="C6" s="2">
        <v>14718</v>
      </c>
      <c r="D6" s="2"/>
      <c r="E6" s="2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15.75" x14ac:dyDescent="0.25">
      <c r="B7" s="1" t="s">
        <v>5</v>
      </c>
      <c r="C7" s="2">
        <v>40468</v>
      </c>
      <c r="D7" s="2"/>
      <c r="E7" s="2"/>
      <c r="F7" s="2"/>
      <c r="G7" s="5"/>
      <c r="H7" s="5"/>
      <c r="I7" s="5"/>
      <c r="J7" s="5"/>
      <c r="K7" s="5"/>
      <c r="L7" s="5"/>
      <c r="M7" s="5"/>
      <c r="N7" s="5"/>
      <c r="O7" s="6"/>
      <c r="P7" s="5"/>
      <c r="Q7" s="5"/>
      <c r="R7" s="5"/>
    </row>
    <row r="8" spans="2:18" ht="15.75" x14ac:dyDescent="0.25">
      <c r="B8" s="1" t="s">
        <v>6</v>
      </c>
      <c r="C8" s="2">
        <v>61734</v>
      </c>
      <c r="D8" s="2"/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2:18" ht="15.75" x14ac:dyDescent="0.25">
      <c r="B9" s="1" t="s">
        <v>7</v>
      </c>
      <c r="C9" s="2">
        <v>55924</v>
      </c>
      <c r="D9" s="2">
        <v>4000</v>
      </c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2:18" ht="15.75" x14ac:dyDescent="0.25">
      <c r="B10" s="1" t="s">
        <v>8</v>
      </c>
      <c r="C10" s="2">
        <v>105158</v>
      </c>
      <c r="D10" s="2">
        <v>4000</v>
      </c>
      <c r="E10" s="2"/>
      <c r="F10" s="2">
        <v>5000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ht="15.75" x14ac:dyDescent="0.25">
      <c r="B11" s="1" t="s">
        <v>9</v>
      </c>
      <c r="C11" s="2">
        <v>89198</v>
      </c>
      <c r="D11" s="2"/>
      <c r="E11" s="2">
        <v>1500</v>
      </c>
      <c r="F11" s="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2:18" ht="15.75" x14ac:dyDescent="0.25">
      <c r="B12" s="1" t="s">
        <v>10</v>
      </c>
      <c r="C12" s="2">
        <v>128803</v>
      </c>
      <c r="D12" s="2"/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2:18" ht="16.5" customHeight="1" x14ac:dyDescent="0.25">
      <c r="B13" s="101" t="s">
        <v>12</v>
      </c>
      <c r="C13" s="4">
        <f>SUM(C4:C12)</f>
        <v>527661</v>
      </c>
      <c r="D13" s="4">
        <f>SUM(D4:D12)</f>
        <v>8000</v>
      </c>
      <c r="E13" s="4">
        <f>SUM(E4:E12)</f>
        <v>1500</v>
      </c>
      <c r="F13" s="4">
        <f>SUM(F4:F12)</f>
        <v>5000</v>
      </c>
    </row>
    <row r="14" spans="2:18" x14ac:dyDescent="0.25">
      <c r="B14" s="3" t="s">
        <v>11</v>
      </c>
      <c r="C14" s="4">
        <f>C13+C3</f>
        <v>717374.32000000007</v>
      </c>
      <c r="D14" s="4">
        <f>D13+D3</f>
        <v>35500</v>
      </c>
      <c r="E14" s="4">
        <f>E13+E3</f>
        <v>1500</v>
      </c>
      <c r="F14" s="4">
        <f>F13+F3</f>
        <v>5000</v>
      </c>
    </row>
  </sheetData>
  <mergeCells count="1">
    <mergeCell ref="B1:F1"/>
  </mergeCells>
  <hyperlinks>
    <hyperlink ref="B13" location="'Приход по кассе'!A1" display="Поступление 2017г.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showGridLines="0" showRowColHeaders="0" workbookViewId="0">
      <selection activeCell="C32" sqref="C32"/>
    </sheetView>
  </sheetViews>
  <sheetFormatPr defaultRowHeight="15" outlineLevelRow="2" x14ac:dyDescent="0.25"/>
  <cols>
    <col min="2" max="2" width="34.5703125" customWidth="1"/>
    <col min="3" max="8" width="14.140625" customWidth="1"/>
    <col min="9" max="9" width="14.5703125" customWidth="1"/>
    <col min="10" max="10" width="14.140625" customWidth="1"/>
    <col min="11" max="11" width="14.85546875" customWidth="1"/>
    <col min="12" max="12" width="14.42578125" customWidth="1"/>
  </cols>
  <sheetData>
    <row r="1" spans="2:14" ht="29.25" thickBot="1" x14ac:dyDescent="0.5">
      <c r="B1" s="148" t="s">
        <v>15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2:14" ht="15.75" thickBot="1" x14ac:dyDescent="0.3">
      <c r="B2" s="116"/>
      <c r="C2" s="108" t="s">
        <v>2</v>
      </c>
      <c r="D2" s="107" t="s">
        <v>3</v>
      </c>
      <c r="E2" s="107" t="s">
        <v>4</v>
      </c>
      <c r="F2" s="107" t="s">
        <v>5</v>
      </c>
      <c r="G2" s="107" t="s">
        <v>6</v>
      </c>
      <c r="H2" s="107" t="s">
        <v>7</v>
      </c>
      <c r="I2" s="107" t="s">
        <v>8</v>
      </c>
      <c r="J2" s="107" t="s">
        <v>9</v>
      </c>
      <c r="K2" s="129" t="s">
        <v>10</v>
      </c>
      <c r="L2" s="137" t="s">
        <v>28</v>
      </c>
    </row>
    <row r="3" spans="2:14" x14ac:dyDescent="0.25">
      <c r="B3" s="117" t="s">
        <v>16</v>
      </c>
      <c r="C3" s="109">
        <f>SUM(C4:C8)</f>
        <v>43943</v>
      </c>
      <c r="D3" s="106">
        <f t="shared" ref="D3:K3" si="0">SUM(D4:D8)</f>
        <v>28915.11</v>
      </c>
      <c r="E3" s="106">
        <f t="shared" si="0"/>
        <v>28914.11</v>
      </c>
      <c r="F3" s="106">
        <f>SUM(F4:F8)</f>
        <v>21500</v>
      </c>
      <c r="G3" s="106">
        <f t="shared" si="0"/>
        <v>21500</v>
      </c>
      <c r="H3" s="106">
        <f t="shared" si="0"/>
        <v>21500</v>
      </c>
      <c r="I3" s="106">
        <f t="shared" si="0"/>
        <v>51156.44</v>
      </c>
      <c r="J3" s="106">
        <f t="shared" si="0"/>
        <v>28914.510000000002</v>
      </c>
      <c r="K3" s="130">
        <f t="shared" si="0"/>
        <v>28914.309999999998</v>
      </c>
      <c r="L3" s="138">
        <f>SUM(C3:K3)</f>
        <v>275257.48</v>
      </c>
    </row>
    <row r="4" spans="2:14" ht="15.75" outlineLevel="1" x14ac:dyDescent="0.25">
      <c r="B4" s="118" t="s">
        <v>17</v>
      </c>
      <c r="C4" s="110">
        <v>8000</v>
      </c>
      <c r="D4" s="2">
        <v>8001</v>
      </c>
      <c r="E4" s="2">
        <v>8000</v>
      </c>
      <c r="F4" s="2">
        <v>8000</v>
      </c>
      <c r="G4" s="2">
        <v>8000</v>
      </c>
      <c r="H4" s="2">
        <v>8000</v>
      </c>
      <c r="I4" s="2">
        <v>8000</v>
      </c>
      <c r="J4" s="2">
        <v>8000</v>
      </c>
      <c r="K4" s="131">
        <v>8000</v>
      </c>
      <c r="L4" s="139">
        <f t="shared" ref="L4:L28" si="1">SUM(C4:K4)</f>
        <v>72001</v>
      </c>
      <c r="M4" s="8"/>
      <c r="N4" s="7"/>
    </row>
    <row r="5" spans="2:14" ht="15.75" outlineLevel="1" x14ac:dyDescent="0.25">
      <c r="B5" s="118" t="s">
        <v>18</v>
      </c>
      <c r="C5" s="110">
        <v>4000</v>
      </c>
      <c r="D5" s="2">
        <v>4000</v>
      </c>
      <c r="E5" s="2">
        <v>4000</v>
      </c>
      <c r="F5" s="2">
        <v>4000</v>
      </c>
      <c r="G5" s="2">
        <v>4000</v>
      </c>
      <c r="H5" s="2">
        <v>4000</v>
      </c>
      <c r="I5" s="2">
        <v>4000</v>
      </c>
      <c r="J5" s="2">
        <v>4000</v>
      </c>
      <c r="K5" s="131">
        <v>4000</v>
      </c>
      <c r="L5" s="139">
        <f t="shared" si="1"/>
        <v>36000</v>
      </c>
      <c r="M5" s="7"/>
      <c r="N5" s="7"/>
    </row>
    <row r="6" spans="2:14" ht="15.75" outlineLevel="1" x14ac:dyDescent="0.25">
      <c r="B6" s="118" t="s">
        <v>19</v>
      </c>
      <c r="C6" s="110">
        <v>3000</v>
      </c>
      <c r="D6" s="2">
        <v>3000</v>
      </c>
      <c r="E6" s="2">
        <v>3000</v>
      </c>
      <c r="F6" s="2">
        <v>3000</v>
      </c>
      <c r="G6" s="2">
        <v>3000</v>
      </c>
      <c r="H6" s="2">
        <v>3000</v>
      </c>
      <c r="I6" s="2">
        <v>3000</v>
      </c>
      <c r="J6" s="2">
        <v>3000</v>
      </c>
      <c r="K6" s="131">
        <v>3000</v>
      </c>
      <c r="L6" s="139">
        <f t="shared" si="1"/>
        <v>27000</v>
      </c>
      <c r="M6" s="7"/>
      <c r="N6" s="7"/>
    </row>
    <row r="7" spans="2:14" ht="15.75" outlineLevel="1" x14ac:dyDescent="0.25">
      <c r="B7" s="118" t="s">
        <v>20</v>
      </c>
      <c r="C7" s="110">
        <v>6500</v>
      </c>
      <c r="D7" s="2">
        <v>6500</v>
      </c>
      <c r="E7" s="2">
        <v>6500</v>
      </c>
      <c r="F7" s="2">
        <v>6500</v>
      </c>
      <c r="G7" s="2">
        <v>6500</v>
      </c>
      <c r="H7" s="2">
        <v>6500</v>
      </c>
      <c r="I7" s="2">
        <v>6500</v>
      </c>
      <c r="J7" s="2">
        <v>6500</v>
      </c>
      <c r="K7" s="131">
        <v>6500</v>
      </c>
      <c r="L7" s="139">
        <f t="shared" si="1"/>
        <v>58500</v>
      </c>
      <c r="M7" s="7"/>
      <c r="N7" s="7"/>
    </row>
    <row r="8" spans="2:14" ht="15.75" outlineLevel="1" x14ac:dyDescent="0.25">
      <c r="B8" s="119" t="s">
        <v>151</v>
      </c>
      <c r="C8" s="111">
        <f>SUM(C9:C11)</f>
        <v>22443</v>
      </c>
      <c r="D8" s="13">
        <f t="shared" ref="D8:L8" si="2">SUM(D9:D11)</f>
        <v>7414.1100000000006</v>
      </c>
      <c r="E8" s="13">
        <f t="shared" si="2"/>
        <v>7414.1100000000006</v>
      </c>
      <c r="F8" s="13">
        <f t="shared" si="2"/>
        <v>0</v>
      </c>
      <c r="G8" s="13">
        <f t="shared" si="2"/>
        <v>0</v>
      </c>
      <c r="H8" s="13">
        <f t="shared" si="2"/>
        <v>0</v>
      </c>
      <c r="I8" s="13">
        <f t="shared" si="2"/>
        <v>29656.440000000002</v>
      </c>
      <c r="J8" s="13">
        <f t="shared" si="2"/>
        <v>7414.51</v>
      </c>
      <c r="K8" s="132">
        <f t="shared" si="2"/>
        <v>7414.3099999999995</v>
      </c>
      <c r="L8" s="140">
        <f t="shared" si="2"/>
        <v>81756.479999999981</v>
      </c>
      <c r="M8" s="7"/>
      <c r="N8" s="7"/>
    </row>
    <row r="9" spans="2:14" ht="15.75" outlineLevel="2" x14ac:dyDescent="0.25">
      <c r="B9" s="120" t="s">
        <v>23</v>
      </c>
      <c r="C9" s="110">
        <v>22443</v>
      </c>
      <c r="D9" s="2">
        <v>2555</v>
      </c>
      <c r="E9" s="2">
        <v>2555</v>
      </c>
      <c r="F9" s="2"/>
      <c r="G9" s="2"/>
      <c r="H9" s="2"/>
      <c r="I9" s="2">
        <v>10220</v>
      </c>
      <c r="J9" s="2">
        <v>2555.1999999999998</v>
      </c>
      <c r="K9" s="131">
        <v>2555</v>
      </c>
      <c r="L9" s="139">
        <f t="shared" si="1"/>
        <v>42883.199999999997</v>
      </c>
      <c r="M9" s="7"/>
      <c r="N9" s="8"/>
    </row>
    <row r="10" spans="2:14" ht="15.75" outlineLevel="2" x14ac:dyDescent="0.25">
      <c r="B10" s="120" t="s">
        <v>24</v>
      </c>
      <c r="C10" s="110"/>
      <c r="D10" s="2">
        <v>48.11</v>
      </c>
      <c r="E10" s="2">
        <v>48.11</v>
      </c>
      <c r="F10" s="2"/>
      <c r="G10" s="2"/>
      <c r="H10" s="2"/>
      <c r="I10" s="2">
        <v>192.44</v>
      </c>
      <c r="J10" s="2">
        <v>48.11</v>
      </c>
      <c r="K10" s="131">
        <v>48.11</v>
      </c>
      <c r="L10" s="139">
        <f t="shared" si="1"/>
        <v>384.88</v>
      </c>
      <c r="M10" s="7"/>
      <c r="N10" s="7"/>
    </row>
    <row r="11" spans="2:14" ht="15.75" outlineLevel="2" x14ac:dyDescent="0.25">
      <c r="B11" s="120" t="s">
        <v>25</v>
      </c>
      <c r="C11" s="110"/>
      <c r="D11" s="2">
        <v>4811</v>
      </c>
      <c r="E11" s="2">
        <v>4811</v>
      </c>
      <c r="F11" s="2"/>
      <c r="G11" s="2"/>
      <c r="H11" s="2"/>
      <c r="I11" s="2">
        <v>19244</v>
      </c>
      <c r="J11" s="2">
        <v>4811.2</v>
      </c>
      <c r="K11" s="131">
        <v>4811.2</v>
      </c>
      <c r="L11" s="139">
        <f t="shared" si="1"/>
        <v>38488.399999999994</v>
      </c>
      <c r="M11" s="7"/>
      <c r="N11" s="7"/>
    </row>
    <row r="12" spans="2:14" ht="15.75" x14ac:dyDescent="0.25">
      <c r="B12" s="121" t="s">
        <v>171</v>
      </c>
      <c r="C12" s="111">
        <f t="shared" ref="C12:D12" si="3">SUM(C13:C16)</f>
        <v>0</v>
      </c>
      <c r="D12" s="13">
        <f t="shared" si="3"/>
        <v>0</v>
      </c>
      <c r="E12" s="13">
        <f>SUM(E13:E16)</f>
        <v>4200</v>
      </c>
      <c r="F12" s="13">
        <f t="shared" ref="F12:K12" si="4">SUM(F13:F16)</f>
        <v>886.08</v>
      </c>
      <c r="G12" s="13">
        <f t="shared" si="4"/>
        <v>0</v>
      </c>
      <c r="H12" s="13">
        <f t="shared" si="4"/>
        <v>32.700000000000003</v>
      </c>
      <c r="I12" s="13">
        <f t="shared" si="4"/>
        <v>60000</v>
      </c>
      <c r="J12" s="13">
        <f t="shared" si="4"/>
        <v>320</v>
      </c>
      <c r="K12" s="132">
        <f t="shared" si="4"/>
        <v>0</v>
      </c>
      <c r="L12" s="140">
        <f t="shared" si="1"/>
        <v>65438.78</v>
      </c>
      <c r="M12" s="7"/>
      <c r="N12" s="7"/>
    </row>
    <row r="13" spans="2:14" ht="15.75" outlineLevel="1" x14ac:dyDescent="0.25">
      <c r="B13" s="122" t="s">
        <v>172</v>
      </c>
      <c r="C13" s="112"/>
      <c r="D13" s="61"/>
      <c r="E13" s="61"/>
      <c r="F13" s="61"/>
      <c r="G13" s="61"/>
      <c r="H13" s="61"/>
      <c r="I13" s="61">
        <v>60000</v>
      </c>
      <c r="J13" s="61"/>
      <c r="K13" s="133"/>
      <c r="L13" s="141">
        <f t="shared" si="1"/>
        <v>60000</v>
      </c>
      <c r="M13" s="7"/>
      <c r="N13" s="7"/>
    </row>
    <row r="14" spans="2:14" ht="15.75" outlineLevel="1" x14ac:dyDescent="0.25">
      <c r="B14" s="122" t="s">
        <v>162</v>
      </c>
      <c r="C14" s="112"/>
      <c r="D14" s="61"/>
      <c r="E14" s="61">
        <v>4200</v>
      </c>
      <c r="F14" s="61"/>
      <c r="G14" s="61"/>
      <c r="H14" s="61"/>
      <c r="I14" s="61"/>
      <c r="J14" s="61"/>
      <c r="K14" s="133"/>
      <c r="L14" s="141">
        <f t="shared" si="1"/>
        <v>4200</v>
      </c>
      <c r="M14" s="7"/>
      <c r="N14" s="7"/>
    </row>
    <row r="15" spans="2:14" ht="15.75" outlineLevel="1" x14ac:dyDescent="0.25">
      <c r="B15" s="122" t="s">
        <v>173</v>
      </c>
      <c r="C15" s="112"/>
      <c r="D15" s="61"/>
      <c r="E15" s="61"/>
      <c r="F15" s="61">
        <f>230*3</f>
        <v>690</v>
      </c>
      <c r="G15" s="61"/>
      <c r="H15" s="61"/>
      <c r="I15" s="61"/>
      <c r="J15" s="61">
        <v>320</v>
      </c>
      <c r="K15" s="133"/>
      <c r="L15" s="141">
        <f t="shared" si="1"/>
        <v>1010</v>
      </c>
      <c r="M15" s="7"/>
      <c r="N15" s="7"/>
    </row>
    <row r="16" spans="2:14" ht="15.75" outlineLevel="1" x14ac:dyDescent="0.25">
      <c r="B16" s="122" t="s">
        <v>220</v>
      </c>
      <c r="C16" s="112"/>
      <c r="D16" s="61"/>
      <c r="E16" s="61"/>
      <c r="F16" s="61">
        <v>196.08</v>
      </c>
      <c r="G16" s="61"/>
      <c r="H16" s="61">
        <v>32.700000000000003</v>
      </c>
      <c r="I16" s="61"/>
      <c r="J16" s="61"/>
      <c r="K16" s="133"/>
      <c r="L16" s="141">
        <f t="shared" si="1"/>
        <v>228.78000000000003</v>
      </c>
      <c r="M16" s="7"/>
      <c r="N16" s="7"/>
    </row>
    <row r="17" spans="2:14" ht="15.75" x14ac:dyDescent="0.25">
      <c r="B17" s="121" t="s">
        <v>35</v>
      </c>
      <c r="C17" s="111"/>
      <c r="D17" s="13"/>
      <c r="E17" s="13">
        <v>1000</v>
      </c>
      <c r="F17" s="13">
        <v>2000</v>
      </c>
      <c r="G17" s="13"/>
      <c r="H17" s="13"/>
      <c r="I17" s="13"/>
      <c r="J17" s="13"/>
      <c r="K17" s="132"/>
      <c r="L17" s="140">
        <f t="shared" si="1"/>
        <v>3000</v>
      </c>
      <c r="M17" s="7"/>
      <c r="N17" s="7"/>
    </row>
    <row r="18" spans="2:14" ht="15.75" x14ac:dyDescent="0.25">
      <c r="B18" s="123" t="s">
        <v>26</v>
      </c>
      <c r="C18" s="111">
        <v>10000</v>
      </c>
      <c r="D18" s="13">
        <v>10000</v>
      </c>
      <c r="E18" s="13">
        <v>15000</v>
      </c>
      <c r="F18" s="13">
        <v>10000</v>
      </c>
      <c r="G18" s="13">
        <v>13418</v>
      </c>
      <c r="H18" s="13">
        <v>15000</v>
      </c>
      <c r="I18" s="13">
        <v>10000</v>
      </c>
      <c r="J18" s="13">
        <v>13000</v>
      </c>
      <c r="K18" s="132">
        <v>13500</v>
      </c>
      <c r="L18" s="140">
        <f t="shared" si="1"/>
        <v>109918</v>
      </c>
      <c r="M18" s="7"/>
      <c r="N18" s="7"/>
    </row>
    <row r="19" spans="2:14" ht="15.75" x14ac:dyDescent="0.25">
      <c r="B19" s="123" t="s">
        <v>56</v>
      </c>
      <c r="C19" s="111">
        <v>1100</v>
      </c>
      <c r="D19" s="13">
        <v>1200</v>
      </c>
      <c r="E19" s="13">
        <v>1200</v>
      </c>
      <c r="F19" s="13">
        <v>2672.39</v>
      </c>
      <c r="G19" s="13"/>
      <c r="H19" s="13"/>
      <c r="I19" s="13">
        <v>1650</v>
      </c>
      <c r="J19" s="13">
        <v>715</v>
      </c>
      <c r="K19" s="132">
        <v>1015</v>
      </c>
      <c r="L19" s="140">
        <f t="shared" si="1"/>
        <v>9552.39</v>
      </c>
      <c r="M19" s="7"/>
      <c r="N19" s="7"/>
    </row>
    <row r="20" spans="2:14" x14ac:dyDescent="0.25">
      <c r="B20" s="124" t="s">
        <v>27</v>
      </c>
      <c r="C20" s="111">
        <v>11168.75</v>
      </c>
      <c r="D20" s="13">
        <v>10588.86</v>
      </c>
      <c r="E20" s="13">
        <v>9803.92</v>
      </c>
      <c r="F20" s="13">
        <v>8200</v>
      </c>
      <c r="G20" s="13">
        <v>5200</v>
      </c>
      <c r="H20" s="13">
        <v>4410</v>
      </c>
      <c r="I20" s="13">
        <v>2529.83</v>
      </c>
      <c r="J20" s="13">
        <v>2437.39</v>
      </c>
      <c r="K20" s="132"/>
      <c r="L20" s="140">
        <f t="shared" si="1"/>
        <v>54338.75</v>
      </c>
    </row>
    <row r="21" spans="2:14" x14ac:dyDescent="0.25">
      <c r="B21" s="125" t="s">
        <v>211</v>
      </c>
      <c r="C21" s="111">
        <f>SUM(C22:C27)</f>
        <v>3369.9</v>
      </c>
      <c r="D21" s="13">
        <f t="shared" ref="D21:K21" si="5">SUM(D22:D27)</f>
        <v>17570</v>
      </c>
      <c r="E21" s="13">
        <f t="shared" si="5"/>
        <v>1155</v>
      </c>
      <c r="F21" s="13">
        <f t="shared" si="5"/>
        <v>1604.8</v>
      </c>
      <c r="G21" s="13">
        <f t="shared" si="5"/>
        <v>20122.66</v>
      </c>
      <c r="H21" s="13">
        <f t="shared" si="5"/>
        <v>3560</v>
      </c>
      <c r="I21" s="13">
        <f t="shared" si="5"/>
        <v>18256.72</v>
      </c>
      <c r="J21" s="13">
        <f t="shared" si="5"/>
        <v>8325</v>
      </c>
      <c r="K21" s="132">
        <f t="shared" si="5"/>
        <v>43142</v>
      </c>
      <c r="L21" s="140">
        <f t="shared" si="1"/>
        <v>117106.08</v>
      </c>
    </row>
    <row r="22" spans="2:14" outlineLevel="1" x14ac:dyDescent="0.25">
      <c r="B22" s="126" t="s">
        <v>152</v>
      </c>
      <c r="C22" s="113">
        <v>1000</v>
      </c>
      <c r="D22" s="60">
        <v>1000</v>
      </c>
      <c r="E22" s="60">
        <v>1000</v>
      </c>
      <c r="F22" s="60">
        <v>1000</v>
      </c>
      <c r="G22" s="60">
        <v>1000</v>
      </c>
      <c r="H22" s="60">
        <v>1000</v>
      </c>
      <c r="I22" s="60">
        <v>1000</v>
      </c>
      <c r="J22" s="60">
        <v>1000</v>
      </c>
      <c r="K22" s="134">
        <v>1000</v>
      </c>
      <c r="L22" s="142">
        <f t="shared" si="1"/>
        <v>9000</v>
      </c>
    </row>
    <row r="23" spans="2:14" outlineLevel="1" x14ac:dyDescent="0.25">
      <c r="B23" s="126" t="s">
        <v>153</v>
      </c>
      <c r="C23" s="113">
        <v>229.9</v>
      </c>
      <c r="D23" s="60">
        <v>470</v>
      </c>
      <c r="E23" s="60"/>
      <c r="F23" s="60">
        <v>359.8</v>
      </c>
      <c r="G23" s="60">
        <v>462.66</v>
      </c>
      <c r="H23" s="60">
        <v>1090</v>
      </c>
      <c r="I23" s="60">
        <v>403.82</v>
      </c>
      <c r="J23" s="60">
        <v>115</v>
      </c>
      <c r="K23" s="134"/>
      <c r="L23" s="142">
        <f t="shared" si="1"/>
        <v>3131.1800000000003</v>
      </c>
    </row>
    <row r="24" spans="2:14" outlineLevel="1" x14ac:dyDescent="0.25">
      <c r="B24" s="126" t="s">
        <v>190</v>
      </c>
      <c r="C24" s="113">
        <v>2000</v>
      </c>
      <c r="D24" s="60"/>
      <c r="E24" s="60"/>
      <c r="F24" s="60"/>
      <c r="G24" s="60"/>
      <c r="H24" s="60">
        <v>1310</v>
      </c>
      <c r="I24" s="60">
        <v>1667.9</v>
      </c>
      <c r="J24" s="60">
        <v>1000</v>
      </c>
      <c r="K24" s="134">
        <v>26200</v>
      </c>
      <c r="L24" s="142">
        <f t="shared" si="1"/>
        <v>32177.9</v>
      </c>
    </row>
    <row r="25" spans="2:14" outlineLevel="1" x14ac:dyDescent="0.25">
      <c r="B25" s="126" t="s">
        <v>154</v>
      </c>
      <c r="C25" s="113">
        <v>140</v>
      </c>
      <c r="D25" s="60">
        <v>100</v>
      </c>
      <c r="E25" s="60">
        <v>155</v>
      </c>
      <c r="F25" s="60">
        <v>245</v>
      </c>
      <c r="G25" s="60">
        <v>160</v>
      </c>
      <c r="H25" s="60">
        <v>160</v>
      </c>
      <c r="I25" s="60">
        <v>185</v>
      </c>
      <c r="J25" s="60">
        <v>210</v>
      </c>
      <c r="K25" s="134">
        <v>100</v>
      </c>
      <c r="L25" s="142">
        <f t="shared" si="1"/>
        <v>1455</v>
      </c>
    </row>
    <row r="26" spans="2:14" outlineLevel="1" x14ac:dyDescent="0.25">
      <c r="B26" s="126" t="s">
        <v>178</v>
      </c>
      <c r="C26" s="113"/>
      <c r="D26" s="60">
        <v>16000</v>
      </c>
      <c r="E26" s="60"/>
      <c r="F26" s="60"/>
      <c r="G26" s="60">
        <f>12500+6000</f>
        <v>18500</v>
      </c>
      <c r="H26" s="60"/>
      <c r="I26" s="60"/>
      <c r="J26" s="60"/>
      <c r="K26" s="134">
        <v>15842</v>
      </c>
      <c r="L26" s="142">
        <f t="shared" si="1"/>
        <v>50342</v>
      </c>
    </row>
    <row r="27" spans="2:14" ht="15.75" outlineLevel="1" thickBot="1" x14ac:dyDescent="0.3">
      <c r="B27" s="127" t="s">
        <v>197</v>
      </c>
      <c r="C27" s="114"/>
      <c r="D27" s="104"/>
      <c r="E27" s="104"/>
      <c r="F27" s="104"/>
      <c r="G27" s="104"/>
      <c r="H27" s="104"/>
      <c r="I27" s="104">
        <v>15000</v>
      </c>
      <c r="J27" s="104">
        <v>6000</v>
      </c>
      <c r="K27" s="135"/>
      <c r="L27" s="143">
        <f t="shared" si="1"/>
        <v>21000</v>
      </c>
    </row>
    <row r="28" spans="2:14" ht="15.75" thickBot="1" x14ac:dyDescent="0.3">
      <c r="B28" s="128" t="s">
        <v>28</v>
      </c>
      <c r="C28" s="115">
        <f>C21+SUM(C17:C20)+C12+C3</f>
        <v>69581.649999999994</v>
      </c>
      <c r="D28" s="105">
        <f t="shared" ref="D28:K28" si="6">D21+SUM(D17:D20)+D12+D3</f>
        <v>68273.97</v>
      </c>
      <c r="E28" s="105">
        <f t="shared" si="6"/>
        <v>61273.03</v>
      </c>
      <c r="F28" s="105">
        <f t="shared" si="6"/>
        <v>46863.270000000004</v>
      </c>
      <c r="G28" s="105">
        <f t="shared" si="6"/>
        <v>60240.66</v>
      </c>
      <c r="H28" s="105">
        <f t="shared" si="6"/>
        <v>44502.7</v>
      </c>
      <c r="I28" s="105">
        <f t="shared" si="6"/>
        <v>143592.99</v>
      </c>
      <c r="J28" s="105">
        <f t="shared" si="6"/>
        <v>53711.9</v>
      </c>
      <c r="K28" s="136">
        <f t="shared" si="6"/>
        <v>86571.31</v>
      </c>
      <c r="L28" s="144">
        <f t="shared" si="1"/>
        <v>634611.48</v>
      </c>
    </row>
    <row r="30" spans="2:14" x14ac:dyDescent="0.25">
      <c r="C30" s="71"/>
      <c r="D30" s="71"/>
      <c r="E30" s="71"/>
      <c r="F30" s="71"/>
      <c r="G30" s="71"/>
      <c r="H30" s="71"/>
      <c r="I30" s="71"/>
      <c r="J30" s="71"/>
      <c r="K30" s="71"/>
    </row>
  </sheetData>
  <mergeCells count="1">
    <mergeCell ref="B1:L1"/>
  </mergeCells>
  <hyperlinks>
    <hyperlink ref="B21" location="'Детализация расходов'!A1" display="Хозяйственные нужды"/>
  </hyperlink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9"/>
  <sheetViews>
    <sheetView showGridLines="0" showRowColHeaders="0" workbookViewId="0">
      <pane ySplit="2" topLeftCell="A3" activePane="bottomLeft" state="frozen"/>
      <selection pane="bottomLeft"/>
    </sheetView>
  </sheetViews>
  <sheetFormatPr defaultRowHeight="15" x14ac:dyDescent="0.25"/>
  <cols>
    <col min="2" max="2" width="12.5703125" customWidth="1"/>
    <col min="3" max="3" width="36.7109375" customWidth="1"/>
    <col min="4" max="4" width="22.42578125" customWidth="1"/>
    <col min="5" max="5" width="10" customWidth="1"/>
  </cols>
  <sheetData>
    <row r="1" spans="2:6" ht="21.75" thickBot="1" x14ac:dyDescent="0.4">
      <c r="B1" s="151" t="s">
        <v>80</v>
      </c>
      <c r="C1" s="151"/>
      <c r="D1" s="151"/>
      <c r="E1" s="151"/>
      <c r="F1" s="151"/>
    </row>
    <row r="2" spans="2:6" ht="15.75" thickBot="1" x14ac:dyDescent="0.3">
      <c r="B2" s="42" t="s">
        <v>79</v>
      </c>
      <c r="C2" s="43" t="s">
        <v>81</v>
      </c>
      <c r="D2" s="44" t="s">
        <v>149</v>
      </c>
      <c r="E2" s="50" t="s">
        <v>13</v>
      </c>
      <c r="F2" s="45" t="s">
        <v>150</v>
      </c>
    </row>
    <row r="3" spans="2:6" x14ac:dyDescent="0.25">
      <c r="B3" s="40">
        <v>42763</v>
      </c>
      <c r="C3" s="41" t="s">
        <v>83</v>
      </c>
      <c r="D3" s="46">
        <v>5000</v>
      </c>
      <c r="E3" s="51"/>
      <c r="F3" s="48"/>
    </row>
    <row r="4" spans="2:6" s="37" customFormat="1" x14ac:dyDescent="0.25">
      <c r="B4" s="38">
        <v>42763</v>
      </c>
      <c r="C4" s="39" t="s">
        <v>84</v>
      </c>
      <c r="D4" s="47">
        <v>6050</v>
      </c>
      <c r="E4" s="52"/>
      <c r="F4" s="49"/>
    </row>
    <row r="5" spans="2:6" x14ac:dyDescent="0.25">
      <c r="B5" s="38">
        <v>42763</v>
      </c>
      <c r="C5" s="39" t="s">
        <v>85</v>
      </c>
      <c r="D5" s="47">
        <v>5000</v>
      </c>
      <c r="E5" s="52"/>
      <c r="F5" s="49"/>
    </row>
    <row r="6" spans="2:6" x14ac:dyDescent="0.25">
      <c r="B6" s="38">
        <v>42763</v>
      </c>
      <c r="C6" s="39" t="s">
        <v>86</v>
      </c>
      <c r="D6" s="47">
        <v>7480</v>
      </c>
      <c r="E6" s="52"/>
      <c r="F6" s="49"/>
    </row>
    <row r="7" spans="2:6" s="37" customFormat="1" x14ac:dyDescent="0.25">
      <c r="B7" s="38">
        <v>42778</v>
      </c>
      <c r="C7" s="39" t="s">
        <v>87</v>
      </c>
      <c r="D7" s="47">
        <v>8128</v>
      </c>
      <c r="E7" s="52"/>
      <c r="F7" s="49"/>
    </row>
    <row r="8" spans="2:6" x14ac:dyDescent="0.25">
      <c r="B8" s="38">
        <v>42813</v>
      </c>
      <c r="C8" s="39" t="s">
        <v>88</v>
      </c>
      <c r="D8" s="47">
        <v>3000</v>
      </c>
      <c r="E8" s="52"/>
      <c r="F8" s="49"/>
    </row>
    <row r="9" spans="2:6" x14ac:dyDescent="0.25">
      <c r="B9" s="38">
        <v>42813</v>
      </c>
      <c r="C9" s="39" t="s">
        <v>89</v>
      </c>
      <c r="D9" s="47">
        <v>8862</v>
      </c>
      <c r="E9" s="52"/>
      <c r="F9" s="49"/>
    </row>
    <row r="10" spans="2:6" x14ac:dyDescent="0.25">
      <c r="B10" s="38">
        <v>42813</v>
      </c>
      <c r="C10" s="39" t="s">
        <v>90</v>
      </c>
      <c r="D10" s="47">
        <v>2856</v>
      </c>
      <c r="E10" s="52"/>
      <c r="F10" s="49"/>
    </row>
    <row r="11" spans="2:6" x14ac:dyDescent="0.25">
      <c r="B11" s="38">
        <v>42833</v>
      </c>
      <c r="C11" s="39" t="s">
        <v>91</v>
      </c>
      <c r="D11" s="47">
        <v>5000</v>
      </c>
      <c r="E11" s="52"/>
      <c r="F11" s="49"/>
    </row>
    <row r="12" spans="2:6" x14ac:dyDescent="0.25">
      <c r="B12" s="38">
        <v>42833</v>
      </c>
      <c r="C12" s="39" t="s">
        <v>92</v>
      </c>
      <c r="D12" s="47">
        <v>9000</v>
      </c>
      <c r="E12" s="52"/>
      <c r="F12" s="49"/>
    </row>
    <row r="13" spans="2:6" x14ac:dyDescent="0.25">
      <c r="B13" s="38">
        <v>42834</v>
      </c>
      <c r="C13" s="39" t="s">
        <v>93</v>
      </c>
      <c r="D13" s="47">
        <v>2000</v>
      </c>
      <c r="E13" s="52"/>
      <c r="F13" s="49"/>
    </row>
    <row r="14" spans="2:6" x14ac:dyDescent="0.25">
      <c r="B14" s="38">
        <v>42848</v>
      </c>
      <c r="C14" s="39" t="s">
        <v>94</v>
      </c>
      <c r="D14" s="47">
        <v>13928</v>
      </c>
      <c r="E14" s="52"/>
      <c r="F14" s="49"/>
    </row>
    <row r="15" spans="2:6" x14ac:dyDescent="0.25">
      <c r="B15" s="38">
        <v>42848</v>
      </c>
      <c r="C15" s="39" t="s">
        <v>95</v>
      </c>
      <c r="D15" s="47">
        <v>10540</v>
      </c>
      <c r="E15" s="52"/>
      <c r="F15" s="49"/>
    </row>
    <row r="16" spans="2:6" x14ac:dyDescent="0.25">
      <c r="B16" s="38">
        <v>42856</v>
      </c>
      <c r="C16" s="39" t="s">
        <v>147</v>
      </c>
      <c r="D16" s="47"/>
      <c r="E16" s="52">
        <v>4000</v>
      </c>
      <c r="F16" s="49"/>
    </row>
    <row r="17" spans="2:6" s="37" customFormat="1" x14ac:dyDescent="0.25">
      <c r="B17" s="38">
        <v>42861</v>
      </c>
      <c r="C17" s="39" t="s">
        <v>96</v>
      </c>
      <c r="D17" s="47">
        <v>11000</v>
      </c>
      <c r="E17" s="52"/>
      <c r="F17" s="49"/>
    </row>
    <row r="18" spans="2:6" x14ac:dyDescent="0.25">
      <c r="B18" s="38">
        <v>42861</v>
      </c>
      <c r="C18" s="39" t="s">
        <v>97</v>
      </c>
      <c r="D18" s="47">
        <v>9828</v>
      </c>
      <c r="E18" s="52"/>
      <c r="F18" s="49"/>
    </row>
    <row r="19" spans="2:6" x14ac:dyDescent="0.25">
      <c r="B19" s="38">
        <v>42861</v>
      </c>
      <c r="C19" s="39" t="s">
        <v>98</v>
      </c>
      <c r="D19" s="47">
        <v>4284</v>
      </c>
      <c r="E19" s="52"/>
      <c r="F19" s="49"/>
    </row>
    <row r="20" spans="2:6" x14ac:dyDescent="0.25">
      <c r="B20" s="38">
        <v>42861</v>
      </c>
      <c r="C20" s="39" t="s">
        <v>99</v>
      </c>
      <c r="D20" s="47">
        <v>5000</v>
      </c>
      <c r="E20" s="52"/>
      <c r="F20" s="49"/>
    </row>
    <row r="21" spans="2:6" x14ac:dyDescent="0.25">
      <c r="B21" s="38">
        <v>42875</v>
      </c>
      <c r="C21" s="39" t="s">
        <v>100</v>
      </c>
      <c r="D21" s="47">
        <v>9564</v>
      </c>
      <c r="E21" s="52"/>
      <c r="F21" s="49"/>
    </row>
    <row r="22" spans="2:6" x14ac:dyDescent="0.25">
      <c r="B22" s="38">
        <v>42875</v>
      </c>
      <c r="C22" s="39" t="s">
        <v>101</v>
      </c>
      <c r="D22" s="47">
        <v>12144</v>
      </c>
      <c r="E22" s="52"/>
      <c r="F22" s="49"/>
    </row>
    <row r="23" spans="2:6" x14ac:dyDescent="0.25">
      <c r="B23" s="38">
        <v>42875</v>
      </c>
      <c r="C23" s="39" t="s">
        <v>102</v>
      </c>
      <c r="D23" s="47">
        <v>5000</v>
      </c>
      <c r="E23" s="52"/>
      <c r="F23" s="49"/>
    </row>
    <row r="24" spans="2:6" s="37" customFormat="1" x14ac:dyDescent="0.25">
      <c r="B24" s="38">
        <v>42875</v>
      </c>
      <c r="C24" s="39" t="s">
        <v>103</v>
      </c>
      <c r="D24" s="47">
        <v>4914</v>
      </c>
      <c r="E24" s="52"/>
      <c r="F24" s="49"/>
    </row>
    <row r="25" spans="2:6" s="37" customFormat="1" x14ac:dyDescent="0.25">
      <c r="B25" s="38">
        <v>42875</v>
      </c>
      <c r="C25" s="39" t="s">
        <v>148</v>
      </c>
      <c r="D25" s="47"/>
      <c r="E25" s="52"/>
      <c r="F25" s="49">
        <v>1500</v>
      </c>
    </row>
    <row r="26" spans="2:6" x14ac:dyDescent="0.25">
      <c r="B26" s="38">
        <v>42888</v>
      </c>
      <c r="C26" s="39" t="s">
        <v>104</v>
      </c>
      <c r="D26" s="47">
        <v>6480</v>
      </c>
      <c r="E26" s="52"/>
      <c r="F26" s="49"/>
    </row>
    <row r="27" spans="2:6" x14ac:dyDescent="0.25">
      <c r="B27" s="38">
        <v>42899</v>
      </c>
      <c r="C27" s="39" t="s">
        <v>105</v>
      </c>
      <c r="D27" s="47">
        <v>4296</v>
      </c>
      <c r="E27" s="52"/>
      <c r="F27" s="49"/>
    </row>
    <row r="28" spans="2:6" x14ac:dyDescent="0.25">
      <c r="B28" s="38">
        <v>42899</v>
      </c>
      <c r="C28" s="39" t="s">
        <v>106</v>
      </c>
      <c r="D28" s="47">
        <v>3888</v>
      </c>
      <c r="E28" s="52"/>
      <c r="F28" s="49"/>
    </row>
    <row r="29" spans="2:6" x14ac:dyDescent="0.25">
      <c r="B29" s="38">
        <v>42899</v>
      </c>
      <c r="C29" s="39" t="s">
        <v>93</v>
      </c>
      <c r="D29" s="47">
        <v>3000</v>
      </c>
      <c r="E29" s="52"/>
      <c r="F29" s="49"/>
    </row>
    <row r="30" spans="2:6" x14ac:dyDescent="0.25">
      <c r="B30" s="38">
        <v>42903</v>
      </c>
      <c r="C30" s="39" t="s">
        <v>107</v>
      </c>
      <c r="D30" s="47">
        <v>5964</v>
      </c>
      <c r="E30" s="52"/>
      <c r="F30" s="49"/>
    </row>
    <row r="31" spans="2:6" x14ac:dyDescent="0.25">
      <c r="B31" s="38">
        <v>42903</v>
      </c>
      <c r="C31" s="39" t="s">
        <v>108</v>
      </c>
      <c r="D31" s="47">
        <v>3000</v>
      </c>
      <c r="E31" s="52"/>
      <c r="F31" s="49"/>
    </row>
    <row r="32" spans="2:6" s="37" customFormat="1" x14ac:dyDescent="0.25">
      <c r="B32" s="38">
        <v>42903</v>
      </c>
      <c r="C32" s="39" t="s">
        <v>109</v>
      </c>
      <c r="D32" s="47">
        <v>5000</v>
      </c>
      <c r="E32" s="52"/>
      <c r="F32" s="49"/>
    </row>
    <row r="33" spans="2:6" x14ac:dyDescent="0.25">
      <c r="B33" s="38">
        <v>42903</v>
      </c>
      <c r="C33" s="39" t="s">
        <v>85</v>
      </c>
      <c r="D33" s="47">
        <v>5000</v>
      </c>
      <c r="E33" s="52"/>
      <c r="F33" s="49"/>
    </row>
    <row r="34" spans="2:6" s="37" customFormat="1" x14ac:dyDescent="0.25">
      <c r="B34" s="38">
        <v>42904</v>
      </c>
      <c r="C34" s="39" t="s">
        <v>110</v>
      </c>
      <c r="D34" s="47">
        <v>4050</v>
      </c>
      <c r="E34" s="52"/>
      <c r="F34" s="49"/>
    </row>
    <row r="35" spans="2:6" s="37" customFormat="1" x14ac:dyDescent="0.25">
      <c r="B35" s="38">
        <v>42904</v>
      </c>
      <c r="C35" s="39" t="s">
        <v>111</v>
      </c>
      <c r="D35" s="47">
        <v>5950</v>
      </c>
      <c r="E35" s="52"/>
      <c r="F35" s="49"/>
    </row>
    <row r="36" spans="2:6" s="37" customFormat="1" x14ac:dyDescent="0.25">
      <c r="B36" s="38">
        <v>42904</v>
      </c>
      <c r="C36" s="39" t="s">
        <v>112</v>
      </c>
      <c r="D36" s="47">
        <v>5000</v>
      </c>
      <c r="E36" s="52"/>
      <c r="F36" s="49"/>
    </row>
    <row r="37" spans="2:6" x14ac:dyDescent="0.25">
      <c r="B37" s="38">
        <v>42904</v>
      </c>
      <c r="C37" s="39" t="s">
        <v>113</v>
      </c>
      <c r="D37" s="47">
        <v>4296</v>
      </c>
      <c r="E37" s="52"/>
      <c r="F37" s="49"/>
    </row>
    <row r="38" spans="2:6" s="37" customFormat="1" x14ac:dyDescent="0.25">
      <c r="B38" s="38">
        <v>42931</v>
      </c>
      <c r="C38" s="39" t="s">
        <v>114</v>
      </c>
      <c r="D38" s="47">
        <v>3000</v>
      </c>
      <c r="E38" s="52"/>
      <c r="F38" s="49"/>
    </row>
    <row r="39" spans="2:6" x14ac:dyDescent="0.25">
      <c r="B39" s="38">
        <v>42931</v>
      </c>
      <c r="C39" s="39" t="s">
        <v>115</v>
      </c>
      <c r="D39" s="47">
        <v>10000</v>
      </c>
      <c r="E39" s="52"/>
      <c r="F39" s="49"/>
    </row>
    <row r="40" spans="2:6" s="37" customFormat="1" x14ac:dyDescent="0.25">
      <c r="B40" s="38">
        <v>42931</v>
      </c>
      <c r="C40" s="39" t="s">
        <v>116</v>
      </c>
      <c r="D40" s="47">
        <v>9924</v>
      </c>
      <c r="E40" s="52"/>
      <c r="F40" s="49"/>
    </row>
    <row r="41" spans="2:6" x14ac:dyDescent="0.25">
      <c r="B41" s="38">
        <v>42931</v>
      </c>
      <c r="C41" s="39" t="s">
        <v>90</v>
      </c>
      <c r="D41" s="47">
        <v>4760</v>
      </c>
      <c r="E41" s="52"/>
      <c r="F41" s="49"/>
    </row>
    <row r="42" spans="2:6" x14ac:dyDescent="0.25">
      <c r="B42" s="38">
        <v>42931</v>
      </c>
      <c r="C42" s="39" t="s">
        <v>117</v>
      </c>
      <c r="D42" s="47">
        <v>15000</v>
      </c>
      <c r="E42" s="52"/>
      <c r="F42" s="49"/>
    </row>
    <row r="43" spans="2:6" x14ac:dyDescent="0.25">
      <c r="B43" s="38">
        <v>42931</v>
      </c>
      <c r="C43" s="39" t="s">
        <v>118</v>
      </c>
      <c r="D43" s="47">
        <v>8000</v>
      </c>
      <c r="E43" s="52"/>
      <c r="F43" s="49"/>
    </row>
    <row r="44" spans="2:6" x14ac:dyDescent="0.25">
      <c r="B44" s="38">
        <v>42931</v>
      </c>
      <c r="C44" s="39" t="s">
        <v>102</v>
      </c>
      <c r="D44" s="47">
        <v>3000</v>
      </c>
      <c r="E44" s="52"/>
      <c r="F44" s="49"/>
    </row>
    <row r="45" spans="2:6" x14ac:dyDescent="0.25">
      <c r="B45" s="38">
        <v>42931</v>
      </c>
      <c r="C45" s="39" t="s">
        <v>119</v>
      </c>
      <c r="D45" s="47">
        <v>5000</v>
      </c>
      <c r="E45" s="52"/>
      <c r="F45" s="49"/>
    </row>
    <row r="46" spans="2:6" x14ac:dyDescent="0.25">
      <c r="B46" s="38">
        <v>42931</v>
      </c>
      <c r="C46" s="39" t="s">
        <v>120</v>
      </c>
      <c r="D46" s="47">
        <v>7938</v>
      </c>
      <c r="E46" s="52"/>
      <c r="F46" s="49"/>
    </row>
    <row r="47" spans="2:6" x14ac:dyDescent="0.25">
      <c r="B47" s="38">
        <v>42931</v>
      </c>
      <c r="C47" s="39" t="s">
        <v>121</v>
      </c>
      <c r="D47" s="47">
        <v>4212</v>
      </c>
      <c r="E47" s="52"/>
      <c r="F47" s="49"/>
    </row>
    <row r="48" spans="2:6" x14ac:dyDescent="0.25">
      <c r="B48" s="38">
        <v>42931</v>
      </c>
      <c r="C48" s="39" t="s">
        <v>122</v>
      </c>
      <c r="D48" s="47">
        <v>9396</v>
      </c>
      <c r="E48" s="52"/>
      <c r="F48" s="49"/>
    </row>
    <row r="49" spans="2:6" x14ac:dyDescent="0.25">
      <c r="B49" s="38">
        <v>42931</v>
      </c>
      <c r="C49" s="39" t="s">
        <v>123</v>
      </c>
      <c r="D49" s="47">
        <v>8916</v>
      </c>
      <c r="E49" s="52"/>
      <c r="F49" s="49"/>
    </row>
    <row r="50" spans="2:6" x14ac:dyDescent="0.25">
      <c r="B50" s="38">
        <v>42931</v>
      </c>
      <c r="C50" s="39" t="s">
        <v>99</v>
      </c>
      <c r="D50" s="47">
        <v>3000</v>
      </c>
      <c r="E50" s="52"/>
      <c r="F50" s="49"/>
    </row>
    <row r="51" spans="2:6" x14ac:dyDescent="0.25">
      <c r="B51" s="38">
        <v>42931</v>
      </c>
      <c r="C51" s="39" t="s">
        <v>124</v>
      </c>
      <c r="D51" s="47">
        <v>5012</v>
      </c>
      <c r="E51" s="52"/>
      <c r="F51" s="49"/>
    </row>
    <row r="52" spans="2:6" x14ac:dyDescent="0.25">
      <c r="B52" s="38">
        <v>42931</v>
      </c>
      <c r="C52" s="39" t="s">
        <v>91</v>
      </c>
      <c r="D52" s="47">
        <v>3000</v>
      </c>
      <c r="E52" s="52"/>
      <c r="F52" s="49"/>
    </row>
    <row r="53" spans="2:6" x14ac:dyDescent="0.25">
      <c r="B53" s="38">
        <v>42931</v>
      </c>
      <c r="C53" s="39" t="s">
        <v>97</v>
      </c>
      <c r="D53" s="47">
        <v>5000</v>
      </c>
      <c r="E53" s="52"/>
      <c r="F53" s="49"/>
    </row>
    <row r="54" spans="2:6" x14ac:dyDescent="0.25">
      <c r="B54" s="38">
        <v>42945</v>
      </c>
      <c r="C54" s="39" t="s">
        <v>147</v>
      </c>
      <c r="D54" s="47"/>
      <c r="E54" s="52">
        <v>4000</v>
      </c>
      <c r="F54" s="49"/>
    </row>
    <row r="55" spans="2:6" x14ac:dyDescent="0.25">
      <c r="B55" s="38">
        <v>42953</v>
      </c>
      <c r="C55" s="39" t="s">
        <v>119</v>
      </c>
      <c r="D55" s="47">
        <v>5000</v>
      </c>
      <c r="E55" s="52"/>
      <c r="F55" s="49"/>
    </row>
    <row r="56" spans="2:6" x14ac:dyDescent="0.25">
      <c r="B56" s="38">
        <v>42953</v>
      </c>
      <c r="C56" s="39" t="s">
        <v>123</v>
      </c>
      <c r="D56" s="47">
        <v>8856</v>
      </c>
      <c r="E56" s="52"/>
      <c r="F56" s="49"/>
    </row>
    <row r="57" spans="2:6" x14ac:dyDescent="0.25">
      <c r="B57" s="38">
        <v>42953</v>
      </c>
      <c r="C57" s="39" t="s">
        <v>125</v>
      </c>
      <c r="D57" s="47">
        <v>7000</v>
      </c>
      <c r="E57" s="52"/>
      <c r="F57" s="49"/>
    </row>
    <row r="58" spans="2:6" x14ac:dyDescent="0.25">
      <c r="B58" s="38">
        <v>42953</v>
      </c>
      <c r="C58" s="39" t="s">
        <v>126</v>
      </c>
      <c r="D58" s="47">
        <v>5748</v>
      </c>
      <c r="E58" s="52"/>
      <c r="F58" s="49"/>
    </row>
    <row r="59" spans="2:6" x14ac:dyDescent="0.25">
      <c r="B59" s="38">
        <v>42953</v>
      </c>
      <c r="C59" s="39" t="s">
        <v>127</v>
      </c>
      <c r="D59" s="47">
        <v>5504</v>
      </c>
      <c r="E59" s="52"/>
      <c r="F59" s="49"/>
    </row>
    <row r="60" spans="2:6" x14ac:dyDescent="0.25">
      <c r="B60" s="38">
        <v>42953</v>
      </c>
      <c r="C60" s="39" t="s">
        <v>127</v>
      </c>
      <c r="D60" s="47">
        <v>4816</v>
      </c>
      <c r="E60" s="52"/>
      <c r="F60" s="49"/>
    </row>
    <row r="61" spans="2:6" x14ac:dyDescent="0.25">
      <c r="B61" s="38">
        <v>42953</v>
      </c>
      <c r="C61" s="39" t="s">
        <v>128</v>
      </c>
      <c r="D61" s="47">
        <v>8904</v>
      </c>
      <c r="E61" s="52"/>
      <c r="F61" s="49"/>
    </row>
    <row r="62" spans="2:6" x14ac:dyDescent="0.25">
      <c r="B62" s="38">
        <v>42953</v>
      </c>
      <c r="C62" s="39" t="s">
        <v>129</v>
      </c>
      <c r="D62" s="47">
        <v>8208</v>
      </c>
      <c r="E62" s="52"/>
      <c r="F62" s="49"/>
    </row>
    <row r="63" spans="2:6" x14ac:dyDescent="0.25">
      <c r="B63" s="38">
        <v>42953</v>
      </c>
      <c r="C63" s="39" t="s">
        <v>130</v>
      </c>
      <c r="D63" s="47">
        <v>10000</v>
      </c>
      <c r="E63" s="52"/>
      <c r="F63" s="49"/>
    </row>
    <row r="64" spans="2:6" x14ac:dyDescent="0.25">
      <c r="B64" s="38">
        <v>42953</v>
      </c>
      <c r="C64" s="39" t="s">
        <v>131</v>
      </c>
      <c r="D64" s="47">
        <v>6000</v>
      </c>
      <c r="E64" s="52"/>
      <c r="F64" s="49"/>
    </row>
    <row r="65" spans="2:6" x14ac:dyDescent="0.25">
      <c r="B65" s="38">
        <v>42953</v>
      </c>
      <c r="C65" s="39" t="s">
        <v>88</v>
      </c>
      <c r="D65" s="47">
        <v>3312</v>
      </c>
      <c r="E65" s="52"/>
      <c r="F65" s="49"/>
    </row>
    <row r="66" spans="2:6" x14ac:dyDescent="0.25">
      <c r="B66" s="38">
        <v>42953</v>
      </c>
      <c r="C66" s="39" t="s">
        <v>114</v>
      </c>
      <c r="D66" s="47">
        <v>2000</v>
      </c>
      <c r="E66" s="52"/>
      <c r="F66" s="49"/>
    </row>
    <row r="67" spans="2:6" x14ac:dyDescent="0.25">
      <c r="B67" s="38">
        <v>42953</v>
      </c>
      <c r="C67" s="39" t="s">
        <v>132</v>
      </c>
      <c r="D67" s="47">
        <v>9720</v>
      </c>
      <c r="E67" s="52"/>
      <c r="F67" s="49"/>
    </row>
    <row r="68" spans="2:6" x14ac:dyDescent="0.25">
      <c r="B68" s="38">
        <v>42953</v>
      </c>
      <c r="C68" s="39" t="s">
        <v>131</v>
      </c>
      <c r="D68" s="47">
        <v>4130</v>
      </c>
      <c r="E68" s="52"/>
      <c r="F68" s="49"/>
    </row>
    <row r="69" spans="2:6" x14ac:dyDescent="0.25">
      <c r="B69" s="38">
        <v>42992</v>
      </c>
      <c r="C69" s="39" t="s">
        <v>86</v>
      </c>
      <c r="D69" s="47">
        <v>5000</v>
      </c>
      <c r="E69" s="52"/>
      <c r="F69" s="49"/>
    </row>
    <row r="70" spans="2:6" x14ac:dyDescent="0.25">
      <c r="B70" s="38">
        <v>42992</v>
      </c>
      <c r="C70" s="39" t="s">
        <v>133</v>
      </c>
      <c r="D70" s="47">
        <v>5000</v>
      </c>
      <c r="E70" s="52"/>
      <c r="F70" s="49"/>
    </row>
    <row r="71" spans="2:6" x14ac:dyDescent="0.25">
      <c r="B71" s="38">
        <v>42992</v>
      </c>
      <c r="C71" s="39" t="s">
        <v>134</v>
      </c>
      <c r="D71" s="47">
        <v>8600</v>
      </c>
      <c r="E71" s="52"/>
      <c r="F71" s="49"/>
    </row>
    <row r="72" spans="2:6" x14ac:dyDescent="0.25">
      <c r="B72" s="38">
        <v>42992</v>
      </c>
      <c r="C72" s="39" t="s">
        <v>135</v>
      </c>
      <c r="D72" s="47">
        <v>4978</v>
      </c>
      <c r="E72" s="52"/>
      <c r="F72" s="49"/>
    </row>
    <row r="73" spans="2:6" x14ac:dyDescent="0.25">
      <c r="B73" s="38">
        <v>42992</v>
      </c>
      <c r="C73" s="39" t="s">
        <v>136</v>
      </c>
      <c r="D73" s="47">
        <v>5022</v>
      </c>
      <c r="E73" s="52"/>
      <c r="F73" s="49"/>
    </row>
    <row r="74" spans="2:6" x14ac:dyDescent="0.25">
      <c r="B74" s="38">
        <v>42992</v>
      </c>
      <c r="C74" s="39" t="s">
        <v>98</v>
      </c>
      <c r="D74" s="47">
        <v>2142</v>
      </c>
      <c r="E74" s="52"/>
      <c r="F74" s="49"/>
    </row>
    <row r="75" spans="2:6" x14ac:dyDescent="0.25">
      <c r="B75" s="38">
        <v>42992</v>
      </c>
      <c r="C75" s="39" t="s">
        <v>137</v>
      </c>
      <c r="D75" s="47">
        <v>1728</v>
      </c>
      <c r="E75" s="52"/>
      <c r="F75" s="49"/>
    </row>
    <row r="76" spans="2:6" x14ac:dyDescent="0.25">
      <c r="B76" s="38">
        <v>42992</v>
      </c>
      <c r="C76" s="39" t="s">
        <v>138</v>
      </c>
      <c r="D76" s="47">
        <v>5000</v>
      </c>
      <c r="E76" s="52"/>
      <c r="F76" s="49"/>
    </row>
    <row r="77" spans="2:6" x14ac:dyDescent="0.25">
      <c r="B77" s="38">
        <v>42992</v>
      </c>
      <c r="C77" s="39" t="s">
        <v>91</v>
      </c>
      <c r="D77" s="47">
        <v>2000</v>
      </c>
      <c r="E77" s="52"/>
      <c r="F77" s="49"/>
    </row>
    <row r="78" spans="2:6" x14ac:dyDescent="0.25">
      <c r="B78" s="38">
        <v>42992</v>
      </c>
      <c r="C78" s="39" t="s">
        <v>95</v>
      </c>
      <c r="D78" s="47">
        <v>8900</v>
      </c>
      <c r="E78" s="52"/>
      <c r="F78" s="49"/>
    </row>
    <row r="79" spans="2:6" x14ac:dyDescent="0.25">
      <c r="B79" s="38">
        <v>42992</v>
      </c>
      <c r="C79" s="39" t="s">
        <v>139</v>
      </c>
      <c r="D79" s="47">
        <v>10692</v>
      </c>
      <c r="E79" s="52"/>
      <c r="F79" s="49"/>
    </row>
    <row r="80" spans="2:6" x14ac:dyDescent="0.25">
      <c r="B80" s="38">
        <v>42992</v>
      </c>
      <c r="C80" s="39" t="s">
        <v>140</v>
      </c>
      <c r="D80" s="47">
        <v>5508</v>
      </c>
      <c r="E80" s="52"/>
      <c r="F80" s="49"/>
    </row>
    <row r="81" spans="2:6" x14ac:dyDescent="0.25">
      <c r="B81" s="38">
        <v>42992</v>
      </c>
      <c r="C81" s="39" t="s">
        <v>141</v>
      </c>
      <c r="D81" s="47">
        <v>5022</v>
      </c>
      <c r="E81" s="52"/>
      <c r="F81" s="49"/>
    </row>
    <row r="82" spans="2:6" x14ac:dyDescent="0.25">
      <c r="B82" s="38">
        <v>42992</v>
      </c>
      <c r="C82" s="39" t="s">
        <v>142</v>
      </c>
      <c r="D82" s="47">
        <v>13284</v>
      </c>
      <c r="E82" s="52"/>
      <c r="F82" s="49"/>
    </row>
    <row r="83" spans="2:6" x14ac:dyDescent="0.25">
      <c r="B83" s="38">
        <v>42992</v>
      </c>
      <c r="C83" s="39" t="s">
        <v>143</v>
      </c>
      <c r="D83" s="47">
        <v>5268</v>
      </c>
      <c r="E83" s="52"/>
      <c r="F83" s="49"/>
    </row>
    <row r="84" spans="2:6" x14ac:dyDescent="0.25">
      <c r="B84" s="38">
        <v>42992</v>
      </c>
      <c r="C84" s="39" t="s">
        <v>144</v>
      </c>
      <c r="D84" s="47">
        <v>4938</v>
      </c>
      <c r="E84" s="52"/>
      <c r="F84" s="49"/>
    </row>
    <row r="85" spans="2:6" x14ac:dyDescent="0.25">
      <c r="B85" s="38">
        <v>42992</v>
      </c>
      <c r="C85" s="39" t="s">
        <v>108</v>
      </c>
      <c r="D85" s="47">
        <v>5706</v>
      </c>
      <c r="E85" s="52"/>
      <c r="F85" s="49"/>
    </row>
    <row r="86" spans="2:6" x14ac:dyDescent="0.25">
      <c r="B86" s="38">
        <v>42992</v>
      </c>
      <c r="C86" s="39" t="s">
        <v>145</v>
      </c>
      <c r="D86" s="47">
        <v>9624</v>
      </c>
      <c r="E86" s="52"/>
      <c r="F86" s="49"/>
    </row>
    <row r="87" spans="2:6" x14ac:dyDescent="0.25">
      <c r="B87" s="38">
        <v>42992</v>
      </c>
      <c r="C87" s="39" t="s">
        <v>146</v>
      </c>
      <c r="D87" s="47">
        <v>10827</v>
      </c>
      <c r="E87" s="52"/>
      <c r="F87" s="49"/>
    </row>
    <row r="88" spans="2:6" ht="15.75" thickBot="1" x14ac:dyDescent="0.3">
      <c r="B88" s="55">
        <v>42999</v>
      </c>
      <c r="C88" s="56" t="s">
        <v>87</v>
      </c>
      <c r="D88" s="57">
        <v>9564</v>
      </c>
      <c r="E88" s="58"/>
      <c r="F88" s="59"/>
    </row>
    <row r="89" spans="2:6" ht="15.75" thickBot="1" x14ac:dyDescent="0.3">
      <c r="B89" s="149" t="s">
        <v>82</v>
      </c>
      <c r="C89" s="150"/>
      <c r="D89" s="54">
        <f>SUM(D3:D88)</f>
        <v>527661</v>
      </c>
      <c r="E89" s="53">
        <f>SUM(E3:E88)</f>
        <v>8000</v>
      </c>
      <c r="F89" s="54">
        <f>SUM(F3:F88)</f>
        <v>1500</v>
      </c>
    </row>
  </sheetData>
  <mergeCells count="2">
    <mergeCell ref="B89:C89"/>
    <mergeCell ref="B1:F1"/>
  </mergeCells>
  <pageMargins left="0.59" right="0.55000000000000004" top="0.5699999999999999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showGridLines="0" showRowColHeaders="0" workbookViewId="0"/>
  </sheetViews>
  <sheetFormatPr defaultRowHeight="15" x14ac:dyDescent="0.25"/>
  <cols>
    <col min="2" max="2" width="10.42578125" customWidth="1"/>
    <col min="3" max="11" width="14.28515625" customWidth="1"/>
    <col min="12" max="12" width="13.42578125" customWidth="1"/>
    <col min="13" max="13" width="11.85546875" customWidth="1"/>
    <col min="15" max="15" width="13.42578125" customWidth="1"/>
  </cols>
  <sheetData>
    <row r="1" spans="2:16" ht="24" thickBot="1" x14ac:dyDescent="0.4">
      <c r="B1" s="152" t="s">
        <v>213</v>
      </c>
      <c r="C1" s="152"/>
      <c r="D1" s="152"/>
      <c r="E1" s="152"/>
      <c r="F1" s="152"/>
      <c r="G1" s="152"/>
      <c r="H1" s="152"/>
      <c r="I1" s="152"/>
      <c r="J1" s="152"/>
      <c r="K1" s="152"/>
    </row>
    <row r="2" spans="2:16" ht="32.25" thickBot="1" x14ac:dyDescent="0.3">
      <c r="B2" s="94" t="s">
        <v>78</v>
      </c>
      <c r="C2" s="88" t="s">
        <v>77</v>
      </c>
      <c r="D2" s="85" t="s">
        <v>76</v>
      </c>
      <c r="E2" s="85" t="s">
        <v>212</v>
      </c>
      <c r="F2" s="85" t="s">
        <v>75</v>
      </c>
      <c r="G2" s="85" t="s">
        <v>74</v>
      </c>
      <c r="H2" s="85" t="s">
        <v>73</v>
      </c>
      <c r="I2" s="86" t="s">
        <v>72</v>
      </c>
      <c r="J2" s="85" t="s">
        <v>71</v>
      </c>
      <c r="K2" s="87" t="s">
        <v>70</v>
      </c>
    </row>
    <row r="3" spans="2:16" ht="15.75" x14ac:dyDescent="0.25">
      <c r="B3" s="95"/>
      <c r="C3" s="89"/>
      <c r="D3" s="77"/>
      <c r="E3" s="77"/>
      <c r="F3" s="77"/>
      <c r="G3" s="77"/>
      <c r="H3" s="77"/>
      <c r="I3" s="77"/>
      <c r="J3" s="77"/>
      <c r="K3" s="78"/>
    </row>
    <row r="4" spans="2:16" ht="15.75" x14ac:dyDescent="0.25">
      <c r="B4" s="96" t="s">
        <v>69</v>
      </c>
      <c r="C4" s="90">
        <v>1000</v>
      </c>
      <c r="D4" s="75">
        <v>1100</v>
      </c>
      <c r="E4" s="75">
        <v>0</v>
      </c>
      <c r="F4" s="75">
        <v>229.9</v>
      </c>
      <c r="G4" s="75">
        <v>21500</v>
      </c>
      <c r="H4" s="79">
        <v>2140</v>
      </c>
      <c r="I4" s="75">
        <v>11168.75</v>
      </c>
      <c r="J4" s="75">
        <v>10000</v>
      </c>
      <c r="K4" s="80">
        <v>0</v>
      </c>
      <c r="L4" s="73"/>
      <c r="P4" s="60"/>
    </row>
    <row r="5" spans="2:16" ht="15.75" x14ac:dyDescent="0.25">
      <c r="B5" s="97"/>
      <c r="C5" s="91"/>
      <c r="D5" s="74"/>
      <c r="E5" s="74"/>
      <c r="F5" s="74"/>
      <c r="G5" s="74"/>
      <c r="H5" s="74"/>
      <c r="I5" s="74"/>
      <c r="J5" s="74"/>
      <c r="K5" s="81"/>
      <c r="L5" s="73"/>
    </row>
    <row r="6" spans="2:16" ht="15.75" x14ac:dyDescent="0.25">
      <c r="B6" s="96" t="s">
        <v>68</v>
      </c>
      <c r="C6" s="90">
        <v>1000</v>
      </c>
      <c r="D6" s="75">
        <v>1200</v>
      </c>
      <c r="E6" s="75">
        <v>0</v>
      </c>
      <c r="F6" s="75">
        <v>470</v>
      </c>
      <c r="G6" s="75">
        <v>21501</v>
      </c>
      <c r="H6" s="79">
        <v>16100</v>
      </c>
      <c r="I6" s="75">
        <v>10588.86</v>
      </c>
      <c r="J6" s="75">
        <v>10000</v>
      </c>
      <c r="K6" s="80">
        <v>0</v>
      </c>
      <c r="L6" s="73"/>
      <c r="M6" s="60"/>
    </row>
    <row r="7" spans="2:16" ht="15.75" x14ac:dyDescent="0.25">
      <c r="B7" s="97"/>
      <c r="C7" s="91"/>
      <c r="D7" s="74"/>
      <c r="E7" s="74"/>
      <c r="F7" s="74"/>
      <c r="G7" s="74"/>
      <c r="H7" s="74"/>
      <c r="I7" s="74"/>
      <c r="J7" s="74"/>
      <c r="K7" s="81"/>
      <c r="L7" s="73"/>
    </row>
    <row r="8" spans="2:16" ht="15.75" x14ac:dyDescent="0.25">
      <c r="B8" s="96" t="s">
        <v>67</v>
      </c>
      <c r="C8" s="90">
        <v>1000</v>
      </c>
      <c r="D8" s="75">
        <v>1200</v>
      </c>
      <c r="E8" s="75">
        <v>4200</v>
      </c>
      <c r="F8" s="75">
        <v>0</v>
      </c>
      <c r="G8" s="75">
        <v>21500</v>
      </c>
      <c r="H8" s="79">
        <v>155</v>
      </c>
      <c r="I8" s="75">
        <v>9803.92</v>
      </c>
      <c r="J8" s="75">
        <v>15000</v>
      </c>
      <c r="K8" s="80">
        <v>1000</v>
      </c>
      <c r="L8" s="73"/>
    </row>
    <row r="9" spans="2:16" ht="15.75" x14ac:dyDescent="0.25">
      <c r="B9" s="97"/>
      <c r="C9" s="91"/>
      <c r="D9" s="74"/>
      <c r="E9" s="74"/>
      <c r="F9" s="74"/>
      <c r="G9" s="74"/>
      <c r="H9" s="74"/>
      <c r="I9" s="74"/>
      <c r="J9" s="74"/>
      <c r="K9" s="81"/>
      <c r="L9" s="73"/>
    </row>
    <row r="10" spans="2:16" ht="15.75" x14ac:dyDescent="0.25">
      <c r="B10" s="96" t="s">
        <v>66</v>
      </c>
      <c r="C10" s="90">
        <v>1000</v>
      </c>
      <c r="D10" s="75">
        <v>2672.39</v>
      </c>
      <c r="E10" s="75">
        <v>886.08</v>
      </c>
      <c r="F10" s="75">
        <v>359.8</v>
      </c>
      <c r="G10" s="75">
        <v>21500</v>
      </c>
      <c r="H10" s="79">
        <v>244.99999999999994</v>
      </c>
      <c r="I10" s="75">
        <v>8200</v>
      </c>
      <c r="J10" s="75">
        <v>10000</v>
      </c>
      <c r="K10" s="80">
        <v>2000</v>
      </c>
      <c r="L10" s="73"/>
    </row>
    <row r="11" spans="2:16" ht="15.75" x14ac:dyDescent="0.25">
      <c r="B11" s="97"/>
      <c r="C11" s="91"/>
      <c r="D11" s="74"/>
      <c r="E11" s="74"/>
      <c r="F11" s="74"/>
      <c r="G11" s="74"/>
      <c r="H11" s="74"/>
      <c r="I11" s="74"/>
      <c r="J11" s="74"/>
      <c r="K11" s="81"/>
      <c r="L11" s="73"/>
    </row>
    <row r="12" spans="2:16" ht="15.75" x14ac:dyDescent="0.25">
      <c r="B12" s="96" t="s">
        <v>65</v>
      </c>
      <c r="C12" s="90">
        <v>1000</v>
      </c>
      <c r="D12" s="75">
        <v>0</v>
      </c>
      <c r="E12" s="75">
        <v>0</v>
      </c>
      <c r="F12" s="75">
        <v>462.66</v>
      </c>
      <c r="G12" s="75">
        <v>21500</v>
      </c>
      <c r="H12" s="79">
        <v>18660</v>
      </c>
      <c r="I12" s="75">
        <v>5200</v>
      </c>
      <c r="J12" s="75">
        <v>13418</v>
      </c>
      <c r="K12" s="80">
        <v>0</v>
      </c>
      <c r="L12" s="73"/>
    </row>
    <row r="13" spans="2:16" ht="15.75" x14ac:dyDescent="0.25">
      <c r="B13" s="97"/>
      <c r="C13" s="91"/>
      <c r="D13" s="74"/>
      <c r="E13" s="74"/>
      <c r="F13" s="74"/>
      <c r="G13" s="74"/>
      <c r="H13" s="74"/>
      <c r="I13" s="74"/>
      <c r="J13" s="74"/>
      <c r="K13" s="81"/>
      <c r="L13" s="73"/>
    </row>
    <row r="14" spans="2:16" ht="15.75" x14ac:dyDescent="0.25">
      <c r="B14" s="96" t="s">
        <v>64</v>
      </c>
      <c r="C14" s="90">
        <v>1000</v>
      </c>
      <c r="D14" s="75">
        <v>0</v>
      </c>
      <c r="E14" s="75">
        <v>32.700000000000003</v>
      </c>
      <c r="F14" s="75">
        <v>1090</v>
      </c>
      <c r="G14" s="75">
        <v>21500</v>
      </c>
      <c r="H14" s="79">
        <v>1470</v>
      </c>
      <c r="I14" s="75">
        <v>4410</v>
      </c>
      <c r="J14" s="75">
        <v>15000</v>
      </c>
      <c r="K14" s="80">
        <v>0</v>
      </c>
      <c r="L14" s="73"/>
    </row>
    <row r="15" spans="2:16" ht="15.75" x14ac:dyDescent="0.25">
      <c r="B15" s="97"/>
      <c r="C15" s="91"/>
      <c r="D15" s="74"/>
      <c r="E15" s="74"/>
      <c r="F15" s="74"/>
      <c r="G15" s="74"/>
      <c r="H15" s="74"/>
      <c r="I15" s="74"/>
      <c r="J15" s="74"/>
      <c r="K15" s="81"/>
      <c r="L15" s="73"/>
    </row>
    <row r="16" spans="2:16" ht="15.75" x14ac:dyDescent="0.25">
      <c r="B16" s="96" t="s">
        <v>63</v>
      </c>
      <c r="C16" s="90">
        <v>1000</v>
      </c>
      <c r="D16" s="75">
        <v>1650</v>
      </c>
      <c r="E16" s="75">
        <v>60000</v>
      </c>
      <c r="F16" s="75">
        <v>403.82</v>
      </c>
      <c r="G16" s="75">
        <v>21500</v>
      </c>
      <c r="H16" s="79">
        <v>16852.900000000001</v>
      </c>
      <c r="I16" s="75">
        <v>2529.83</v>
      </c>
      <c r="J16" s="75">
        <v>10000</v>
      </c>
      <c r="K16" s="80">
        <v>0</v>
      </c>
      <c r="L16" s="73"/>
    </row>
    <row r="17" spans="2:12" ht="15.75" x14ac:dyDescent="0.25">
      <c r="B17" s="97"/>
      <c r="C17" s="91"/>
      <c r="D17" s="74"/>
      <c r="E17" s="74"/>
      <c r="F17" s="74"/>
      <c r="G17" s="74"/>
      <c r="H17" s="74"/>
      <c r="I17" s="74"/>
      <c r="J17" s="74"/>
      <c r="K17" s="81"/>
      <c r="L17" s="73"/>
    </row>
    <row r="18" spans="2:12" ht="15.75" x14ac:dyDescent="0.25">
      <c r="B18" s="96" t="s">
        <v>62</v>
      </c>
      <c r="C18" s="90">
        <v>1000</v>
      </c>
      <c r="D18" s="75">
        <v>715</v>
      </c>
      <c r="E18" s="75">
        <v>320</v>
      </c>
      <c r="F18" s="75">
        <v>115</v>
      </c>
      <c r="G18" s="75">
        <v>21500</v>
      </c>
      <c r="H18" s="79">
        <v>7210</v>
      </c>
      <c r="I18" s="75">
        <v>2437.39</v>
      </c>
      <c r="J18" s="75">
        <v>13000</v>
      </c>
      <c r="K18" s="80">
        <v>0</v>
      </c>
      <c r="L18" s="73"/>
    </row>
    <row r="19" spans="2:12" ht="15.75" x14ac:dyDescent="0.25">
      <c r="B19" s="97"/>
      <c r="C19" s="91"/>
      <c r="D19" s="74"/>
      <c r="E19" s="74"/>
      <c r="F19" s="74"/>
      <c r="G19" s="74"/>
      <c r="H19" s="74"/>
      <c r="I19" s="74"/>
      <c r="J19" s="74"/>
      <c r="K19" s="81"/>
      <c r="L19" s="73"/>
    </row>
    <row r="20" spans="2:12" ht="15.75" x14ac:dyDescent="0.25">
      <c r="B20" s="96" t="s">
        <v>61</v>
      </c>
      <c r="C20" s="90">
        <v>1000</v>
      </c>
      <c r="D20" s="75">
        <v>1015</v>
      </c>
      <c r="E20" s="75">
        <v>0</v>
      </c>
      <c r="F20" s="75">
        <v>0</v>
      </c>
      <c r="G20" s="75">
        <v>21500</v>
      </c>
      <c r="H20" s="79">
        <v>42142</v>
      </c>
      <c r="I20" s="75">
        <v>0</v>
      </c>
      <c r="J20" s="75">
        <v>13500</v>
      </c>
      <c r="K20" s="80">
        <v>0</v>
      </c>
      <c r="L20" s="73"/>
    </row>
    <row r="21" spans="2:12" ht="15.75" x14ac:dyDescent="0.25">
      <c r="B21" s="97"/>
      <c r="C21" s="91"/>
      <c r="D21" s="74"/>
      <c r="E21" s="74"/>
      <c r="F21" s="74"/>
      <c r="G21" s="74"/>
      <c r="H21" s="74"/>
      <c r="I21" s="74"/>
      <c r="J21" s="74"/>
      <c r="K21" s="82"/>
    </row>
    <row r="22" spans="2:12" ht="15.75" x14ac:dyDescent="0.25">
      <c r="B22" s="97" t="s">
        <v>60</v>
      </c>
      <c r="C22" s="91"/>
      <c r="D22" s="74"/>
      <c r="E22" s="74"/>
      <c r="F22" s="74"/>
      <c r="G22" s="74"/>
      <c r="H22" s="74"/>
      <c r="I22" s="74"/>
      <c r="J22" s="74"/>
      <c r="K22" s="82"/>
    </row>
    <row r="23" spans="2:12" ht="15.75" x14ac:dyDescent="0.25">
      <c r="B23" s="97"/>
      <c r="C23" s="91"/>
      <c r="D23" s="74"/>
      <c r="E23" s="74"/>
      <c r="F23" s="74"/>
      <c r="G23" s="74"/>
      <c r="H23" s="74"/>
      <c r="I23" s="74"/>
      <c r="J23" s="74"/>
      <c r="K23" s="82"/>
    </row>
    <row r="24" spans="2:12" ht="15.75" x14ac:dyDescent="0.25">
      <c r="B24" s="97" t="s">
        <v>59</v>
      </c>
      <c r="C24" s="91"/>
      <c r="D24" s="74"/>
      <c r="E24" s="74"/>
      <c r="F24" s="74"/>
      <c r="G24" s="74"/>
      <c r="H24" s="74"/>
      <c r="I24" s="74"/>
      <c r="J24" s="74"/>
      <c r="K24" s="82"/>
    </row>
    <row r="25" spans="2:12" ht="15.75" x14ac:dyDescent="0.25">
      <c r="B25" s="97"/>
      <c r="C25" s="91"/>
      <c r="D25" s="74"/>
      <c r="E25" s="74"/>
      <c r="F25" s="74"/>
      <c r="G25" s="74"/>
      <c r="H25" s="74"/>
      <c r="I25" s="74"/>
      <c r="J25" s="74"/>
      <c r="K25" s="82"/>
    </row>
    <row r="26" spans="2:12" ht="15.75" x14ac:dyDescent="0.25">
      <c r="B26" s="97" t="s">
        <v>58</v>
      </c>
      <c r="C26" s="91"/>
      <c r="D26" s="74"/>
      <c r="E26" s="74"/>
      <c r="F26" s="74"/>
      <c r="G26" s="74"/>
      <c r="H26" s="74"/>
      <c r="I26" s="74"/>
      <c r="J26" s="74"/>
      <c r="K26" s="82"/>
    </row>
    <row r="27" spans="2:12" ht="16.5" thickBot="1" x14ac:dyDescent="0.3">
      <c r="B27" s="98"/>
      <c r="C27" s="92"/>
      <c r="D27" s="83"/>
      <c r="E27" s="83"/>
      <c r="F27" s="83"/>
      <c r="G27" s="83"/>
      <c r="H27" s="83"/>
      <c r="I27" s="83"/>
      <c r="J27" s="83"/>
      <c r="K27" s="84"/>
    </row>
    <row r="28" spans="2:12" ht="16.5" thickBot="1" x14ac:dyDescent="0.3">
      <c r="B28" s="99" t="s">
        <v>28</v>
      </c>
      <c r="C28" s="93">
        <f>SUM(C3:C27)</f>
        <v>9000</v>
      </c>
      <c r="D28" s="76">
        <f>SUM(D4:D27)</f>
        <v>9552.39</v>
      </c>
      <c r="E28" s="76">
        <f>SUM(E3:E27)</f>
        <v>65438.78</v>
      </c>
      <c r="F28" s="76">
        <f>SUM(F3:F27)</f>
        <v>3131.1800000000003</v>
      </c>
      <c r="G28" s="76">
        <f>SUM(G3:G27)</f>
        <v>193501</v>
      </c>
      <c r="H28" s="76">
        <f>SUM(H4:H27)</f>
        <v>104974.9</v>
      </c>
      <c r="I28" s="76">
        <f>SUM(I4:I27)</f>
        <v>54338.75</v>
      </c>
      <c r="J28" s="76">
        <f>SUM(J3:J27)</f>
        <v>109918</v>
      </c>
      <c r="K28" s="76">
        <v>3000</v>
      </c>
    </row>
    <row r="29" spans="2:12" x14ac:dyDescent="0.25"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2:12" ht="18.75" x14ac:dyDescent="0.3">
      <c r="B30" s="36" t="s">
        <v>57</v>
      </c>
      <c r="C30" s="36" t="s">
        <v>23</v>
      </c>
      <c r="D30" s="36">
        <v>42883.199999999997</v>
      </c>
      <c r="E30" s="62"/>
      <c r="F30" s="62"/>
      <c r="G30" s="62"/>
      <c r="H30" s="62"/>
      <c r="I30" s="62"/>
      <c r="J30" s="62"/>
      <c r="K30" s="62"/>
    </row>
    <row r="31" spans="2:12" ht="23.25" x14ac:dyDescent="0.35">
      <c r="B31" s="36"/>
      <c r="C31" s="36" t="s">
        <v>24</v>
      </c>
      <c r="D31" s="36">
        <v>384.88</v>
      </c>
      <c r="E31" s="72"/>
      <c r="F31" s="72"/>
      <c r="G31" s="62"/>
      <c r="H31" s="62"/>
      <c r="I31" s="62"/>
      <c r="J31" s="62"/>
      <c r="K31" s="62"/>
    </row>
    <row r="32" spans="2:12" ht="18.75" x14ac:dyDescent="0.3">
      <c r="B32" s="100"/>
      <c r="C32" s="36" t="s">
        <v>25</v>
      </c>
      <c r="D32" s="36">
        <v>38488.400000000001</v>
      </c>
      <c r="E32" s="62"/>
      <c r="F32" s="62"/>
      <c r="G32" s="62"/>
      <c r="H32" s="62"/>
      <c r="I32" s="62"/>
      <c r="J32" s="62"/>
      <c r="K32" s="62"/>
    </row>
    <row r="33" spans="2:10" ht="26.25" x14ac:dyDescent="0.4">
      <c r="B33" s="33"/>
      <c r="C33" s="31"/>
      <c r="D33" s="31"/>
      <c r="E33" s="153" t="s">
        <v>214</v>
      </c>
      <c r="F33" s="153"/>
      <c r="G33" s="153"/>
      <c r="H33" s="36">
        <f>SUM(D30:D32)+SUM(C28:K28)</f>
        <v>634611.48</v>
      </c>
      <c r="J33" s="35"/>
    </row>
    <row r="34" spans="2:10" ht="21" x14ac:dyDescent="0.35">
      <c r="B34" s="31"/>
      <c r="C34" s="31"/>
      <c r="D34" s="34"/>
      <c r="F34" s="34"/>
      <c r="H34" s="71"/>
    </row>
    <row r="35" spans="2:10" ht="15.75" x14ac:dyDescent="0.25">
      <c r="B35" s="33"/>
      <c r="C35" s="31"/>
      <c r="D35" s="31"/>
      <c r="E35" s="31"/>
      <c r="F35" s="31"/>
      <c r="G35" s="32"/>
    </row>
    <row r="36" spans="2:10" ht="15.75" x14ac:dyDescent="0.25">
      <c r="B36" s="33"/>
      <c r="C36" s="31"/>
      <c r="D36" s="31"/>
      <c r="E36" s="31"/>
      <c r="F36" s="31"/>
      <c r="G36" s="32"/>
    </row>
    <row r="37" spans="2:10" ht="15.75" x14ac:dyDescent="0.25">
      <c r="B37" s="33"/>
      <c r="C37" s="31"/>
      <c r="D37" s="31"/>
      <c r="E37" s="31"/>
      <c r="F37" s="31"/>
      <c r="G37" s="32"/>
    </row>
    <row r="38" spans="2:10" ht="15.75" x14ac:dyDescent="0.25">
      <c r="B38" s="33"/>
      <c r="C38" s="31"/>
      <c r="D38" s="31"/>
      <c r="E38" s="31"/>
      <c r="F38" s="31"/>
      <c r="G38" s="32"/>
    </row>
    <row r="39" spans="2:10" ht="15.75" x14ac:dyDescent="0.25">
      <c r="B39" s="33"/>
      <c r="C39" s="31"/>
      <c r="D39" s="31"/>
      <c r="E39" s="31"/>
      <c r="F39" s="31"/>
      <c r="G39" s="32"/>
    </row>
    <row r="40" spans="2:10" ht="15.75" x14ac:dyDescent="0.25">
      <c r="B40" s="33"/>
      <c r="C40" s="31"/>
      <c r="D40" s="31"/>
      <c r="E40" s="31"/>
      <c r="F40" s="31"/>
      <c r="G40" s="32"/>
    </row>
    <row r="41" spans="2:10" ht="15.75" x14ac:dyDescent="0.25">
      <c r="B41" s="33"/>
      <c r="C41" s="31"/>
      <c r="D41" s="31"/>
      <c r="E41" s="31"/>
      <c r="F41" s="31"/>
      <c r="G41" s="32"/>
    </row>
    <row r="42" spans="2:10" ht="15.75" x14ac:dyDescent="0.25">
      <c r="B42" s="33"/>
      <c r="C42" s="31"/>
      <c r="D42" s="31"/>
      <c r="E42" s="31"/>
      <c r="F42" s="31"/>
      <c r="G42" s="32"/>
    </row>
    <row r="43" spans="2:10" ht="15.75" x14ac:dyDescent="0.25">
      <c r="B43" s="33"/>
      <c r="C43" s="31"/>
      <c r="D43" s="31"/>
      <c r="E43" s="31"/>
      <c r="F43" s="31"/>
      <c r="G43" s="32"/>
    </row>
    <row r="44" spans="2:10" ht="15.75" x14ac:dyDescent="0.25">
      <c r="B44" s="31"/>
      <c r="C44" s="31"/>
      <c r="D44" s="31"/>
      <c r="E44" s="31"/>
      <c r="F44" s="31"/>
      <c r="G44" s="32"/>
    </row>
    <row r="45" spans="2:10" x14ac:dyDescent="0.25">
      <c r="B45" s="31"/>
      <c r="C45" s="31"/>
      <c r="D45" s="31"/>
      <c r="E45" s="31"/>
      <c r="F45" s="31"/>
      <c r="G45" s="31"/>
    </row>
    <row r="46" spans="2:10" x14ac:dyDescent="0.25">
      <c r="B46" s="31"/>
      <c r="C46" s="31"/>
      <c r="D46" s="31"/>
      <c r="E46" s="31"/>
      <c r="F46" s="31"/>
      <c r="G46" s="31"/>
    </row>
  </sheetData>
  <mergeCells count="2">
    <mergeCell ref="B1:K1"/>
    <mergeCell ref="E33:G33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8"/>
  <sheetViews>
    <sheetView showGridLines="0" showRowColHeaders="0" workbookViewId="0">
      <pane ySplit="3" topLeftCell="A4" activePane="bottomLeft" state="frozen"/>
      <selection pane="bottomLeft" activeCell="M45" sqref="M45"/>
    </sheetView>
  </sheetViews>
  <sheetFormatPr defaultRowHeight="15" x14ac:dyDescent="0.25"/>
  <cols>
    <col min="2" max="2" width="5" customWidth="1"/>
    <col min="3" max="3" width="9.140625" customWidth="1"/>
    <col min="8" max="8" width="9.85546875" customWidth="1"/>
    <col min="9" max="9" width="9.7109375" customWidth="1"/>
  </cols>
  <sheetData>
    <row r="2" spans="2:11" ht="27.75" customHeight="1" x14ac:dyDescent="0.45">
      <c r="B2" s="154" t="s">
        <v>43</v>
      </c>
      <c r="C2" s="155"/>
      <c r="D2" s="155"/>
      <c r="E2" s="155"/>
      <c r="F2" s="155"/>
      <c r="G2" s="155"/>
      <c r="H2" s="155"/>
      <c r="I2" s="155"/>
      <c r="J2" s="155"/>
      <c r="K2" s="156"/>
    </row>
    <row r="3" spans="2:11" x14ac:dyDescent="0.25">
      <c r="B3" s="3" t="s">
        <v>36</v>
      </c>
      <c r="C3" s="3" t="s">
        <v>37</v>
      </c>
      <c r="D3" s="3">
        <v>2017</v>
      </c>
      <c r="E3" s="3">
        <v>2016</v>
      </c>
      <c r="F3" s="3">
        <v>2015</v>
      </c>
      <c r="G3" s="3" t="s">
        <v>38</v>
      </c>
      <c r="H3" s="3" t="s">
        <v>39</v>
      </c>
      <c r="I3" s="3" t="s">
        <v>40</v>
      </c>
      <c r="J3" s="19" t="s">
        <v>41</v>
      </c>
      <c r="K3" s="19" t="s">
        <v>42</v>
      </c>
    </row>
    <row r="4" spans="2:11" x14ac:dyDescent="0.25">
      <c r="B4" s="1"/>
      <c r="C4" s="1"/>
      <c r="D4" s="3">
        <f>SUM(D5:D128)</f>
        <v>657364</v>
      </c>
      <c r="E4" s="3">
        <f>SUM(E5:E128)</f>
        <v>289033</v>
      </c>
      <c r="F4" s="3">
        <f>SUM(F5:F128)</f>
        <v>223191</v>
      </c>
      <c r="G4" s="3">
        <f>4000*SUM(G5:G128)</f>
        <v>168000</v>
      </c>
      <c r="H4" s="3">
        <f>SUM(H5:H128)</f>
        <v>528902</v>
      </c>
      <c r="I4" s="3">
        <f>SUM(I5:I128)</f>
        <v>76882</v>
      </c>
      <c r="J4" s="14">
        <f>D4+E4+F4</f>
        <v>1169588</v>
      </c>
      <c r="K4" s="14">
        <f>G4</f>
        <v>168000</v>
      </c>
    </row>
    <row r="5" spans="2:11" x14ac:dyDescent="0.25">
      <c r="B5" s="20">
        <v>1</v>
      </c>
      <c r="C5" s="20">
        <v>797</v>
      </c>
      <c r="D5" s="20"/>
      <c r="E5" s="20"/>
      <c r="F5" s="20"/>
      <c r="G5" s="20"/>
      <c r="H5" s="20"/>
      <c r="I5" s="20"/>
      <c r="J5" s="21">
        <f t="shared" ref="J5:J68" si="0">D5+E5+F5</f>
        <v>0</v>
      </c>
      <c r="K5" s="21">
        <f>G5*4000</f>
        <v>0</v>
      </c>
    </row>
    <row r="6" spans="2:11" x14ac:dyDescent="0.25">
      <c r="B6" s="20">
        <v>2</v>
      </c>
      <c r="C6" s="20">
        <v>1012</v>
      </c>
      <c r="D6" s="20"/>
      <c r="E6" s="20"/>
      <c r="F6" s="20"/>
      <c r="G6" s="20"/>
      <c r="H6" s="20"/>
      <c r="I6" s="20"/>
      <c r="J6" s="21">
        <f t="shared" si="0"/>
        <v>0</v>
      </c>
      <c r="K6" s="21">
        <f t="shared" ref="K6:K69" si="1">G6*4000</f>
        <v>0</v>
      </c>
    </row>
    <row r="7" spans="2:11" x14ac:dyDescent="0.25">
      <c r="B7" s="18">
        <v>3</v>
      </c>
      <c r="C7" s="18">
        <v>818</v>
      </c>
      <c r="D7" s="18">
        <f>C7*12</f>
        <v>9816</v>
      </c>
      <c r="E7" s="18">
        <f>C7*12</f>
        <v>9816</v>
      </c>
      <c r="F7" s="18"/>
      <c r="G7" s="18"/>
      <c r="H7" s="18"/>
      <c r="I7" s="18"/>
      <c r="J7" s="15">
        <f t="shared" si="0"/>
        <v>19632</v>
      </c>
      <c r="K7" s="15">
        <f t="shared" si="1"/>
        <v>0</v>
      </c>
    </row>
    <row r="8" spans="2:11" x14ac:dyDescent="0.25">
      <c r="B8" s="20">
        <v>4</v>
      </c>
      <c r="C8" s="20">
        <v>810</v>
      </c>
      <c r="D8" s="20"/>
      <c r="E8" s="20"/>
      <c r="F8" s="20"/>
      <c r="G8" s="20"/>
      <c r="H8" s="20"/>
      <c r="I8" s="20"/>
      <c r="J8" s="21">
        <f t="shared" si="0"/>
        <v>0</v>
      </c>
      <c r="K8" s="21">
        <f t="shared" si="1"/>
        <v>0</v>
      </c>
    </row>
    <row r="9" spans="2:11" x14ac:dyDescent="0.25">
      <c r="B9" s="20">
        <v>5</v>
      </c>
      <c r="C9" s="20">
        <v>797</v>
      </c>
      <c r="D9" s="20"/>
      <c r="E9" s="20"/>
      <c r="F9" s="20"/>
      <c r="G9" s="20"/>
      <c r="H9" s="20"/>
      <c r="I9" s="20"/>
      <c r="J9" s="21">
        <f t="shared" si="0"/>
        <v>0</v>
      </c>
      <c r="K9" s="21">
        <f t="shared" si="1"/>
        <v>0</v>
      </c>
    </row>
    <row r="10" spans="2:11" x14ac:dyDescent="0.25">
      <c r="B10" s="20">
        <v>6</v>
      </c>
      <c r="C10" s="20">
        <v>810</v>
      </c>
      <c r="D10" s="20"/>
      <c r="E10" s="20"/>
      <c r="F10" s="20"/>
      <c r="G10" s="20"/>
      <c r="H10" s="20"/>
      <c r="I10" s="20"/>
      <c r="J10" s="21">
        <f t="shared" si="0"/>
        <v>0</v>
      </c>
      <c r="K10" s="21">
        <f t="shared" si="1"/>
        <v>0</v>
      </c>
    </row>
    <row r="11" spans="2:11" x14ac:dyDescent="0.25">
      <c r="B11" s="20">
        <v>7</v>
      </c>
      <c r="C11" s="20">
        <v>810</v>
      </c>
      <c r="D11" s="20"/>
      <c r="E11" s="20"/>
      <c r="F11" s="20"/>
      <c r="G11" s="20"/>
      <c r="H11" s="20"/>
      <c r="I11" s="20"/>
      <c r="J11" s="21">
        <f t="shared" si="0"/>
        <v>0</v>
      </c>
      <c r="K11" s="21">
        <f t="shared" si="1"/>
        <v>0</v>
      </c>
    </row>
    <row r="12" spans="2:11" x14ac:dyDescent="0.25">
      <c r="B12" s="20">
        <v>8</v>
      </c>
      <c r="C12" s="20">
        <v>931</v>
      </c>
      <c r="D12" s="20"/>
      <c r="E12" s="20"/>
      <c r="F12" s="20"/>
      <c r="G12" s="20"/>
      <c r="H12" s="20"/>
      <c r="I12" s="20"/>
      <c r="J12" s="21">
        <f t="shared" si="0"/>
        <v>0</v>
      </c>
      <c r="K12" s="21">
        <f t="shared" si="1"/>
        <v>0</v>
      </c>
    </row>
    <row r="13" spans="2:11" x14ac:dyDescent="0.25">
      <c r="B13" s="17">
        <v>9</v>
      </c>
      <c r="C13" s="17">
        <v>878</v>
      </c>
      <c r="D13" s="17">
        <f>C13*6</f>
        <v>5268</v>
      </c>
      <c r="E13" s="17"/>
      <c r="F13" s="17"/>
      <c r="G13" s="17"/>
      <c r="H13" s="17"/>
      <c r="I13" s="17"/>
      <c r="J13" s="14">
        <f t="shared" si="0"/>
        <v>5268</v>
      </c>
      <c r="K13" s="14">
        <f t="shared" si="1"/>
        <v>0</v>
      </c>
    </row>
    <row r="14" spans="2:11" x14ac:dyDescent="0.25">
      <c r="B14" s="17">
        <v>10</v>
      </c>
      <c r="C14" s="17">
        <v>823</v>
      </c>
      <c r="D14" s="17">
        <f>C14*6</f>
        <v>4938</v>
      </c>
      <c r="E14" s="17"/>
      <c r="F14" s="17"/>
      <c r="G14" s="17"/>
      <c r="H14" s="17"/>
      <c r="I14" s="17"/>
      <c r="J14" s="14">
        <f t="shared" si="0"/>
        <v>4938</v>
      </c>
      <c r="K14" s="14">
        <f t="shared" si="1"/>
        <v>0</v>
      </c>
    </row>
    <row r="15" spans="2:11" x14ac:dyDescent="0.25">
      <c r="B15" s="18">
        <v>11</v>
      </c>
      <c r="C15" s="18">
        <v>849</v>
      </c>
      <c r="D15" s="18">
        <f>C15*12</f>
        <v>10188</v>
      </c>
      <c r="E15" s="18">
        <f>12*C15</f>
        <v>10188</v>
      </c>
      <c r="F15" s="18">
        <v>10188</v>
      </c>
      <c r="G15" s="18">
        <v>1</v>
      </c>
      <c r="H15" s="18"/>
      <c r="I15" s="18"/>
      <c r="J15" s="15">
        <f t="shared" si="0"/>
        <v>30564</v>
      </c>
      <c r="K15" s="15">
        <f t="shared" si="1"/>
        <v>4000</v>
      </c>
    </row>
    <row r="16" spans="2:11" x14ac:dyDescent="0.25">
      <c r="B16" s="17">
        <v>12</v>
      </c>
      <c r="C16" s="17">
        <v>864</v>
      </c>
      <c r="D16" s="17">
        <f>C16*3-106</f>
        <v>2486</v>
      </c>
      <c r="E16" s="17"/>
      <c r="F16" s="17"/>
      <c r="G16" s="17"/>
      <c r="H16" s="17"/>
      <c r="I16" s="17"/>
      <c r="J16" s="14">
        <f t="shared" si="0"/>
        <v>2486</v>
      </c>
      <c r="K16" s="14">
        <f t="shared" si="1"/>
        <v>0</v>
      </c>
    </row>
    <row r="17" spans="2:11" x14ac:dyDescent="0.25">
      <c r="B17" s="17">
        <v>13</v>
      </c>
      <c r="C17" s="17">
        <v>830</v>
      </c>
      <c r="D17" s="17">
        <f>C17*12</f>
        <v>9960</v>
      </c>
      <c r="E17" s="17"/>
      <c r="F17" s="17"/>
      <c r="G17" s="17"/>
      <c r="H17" s="17"/>
      <c r="I17" s="17"/>
      <c r="J17" s="14">
        <f t="shared" si="0"/>
        <v>9960</v>
      </c>
      <c r="K17" s="14">
        <f t="shared" si="1"/>
        <v>0</v>
      </c>
    </row>
    <row r="18" spans="2:11" x14ac:dyDescent="0.25">
      <c r="B18" s="17">
        <v>14</v>
      </c>
      <c r="C18" s="17">
        <v>905</v>
      </c>
      <c r="D18" s="17"/>
      <c r="E18" s="17"/>
      <c r="F18" s="17"/>
      <c r="G18" s="17"/>
      <c r="H18" s="17"/>
      <c r="I18" s="17"/>
      <c r="J18" s="14">
        <f t="shared" si="0"/>
        <v>0</v>
      </c>
      <c r="K18" s="14">
        <f t="shared" si="1"/>
        <v>0</v>
      </c>
    </row>
    <row r="19" spans="2:11" x14ac:dyDescent="0.25">
      <c r="B19" s="17">
        <v>15</v>
      </c>
      <c r="C19" s="17">
        <v>802</v>
      </c>
      <c r="D19" s="17">
        <f>C19*4</f>
        <v>3208</v>
      </c>
      <c r="E19" s="17"/>
      <c r="F19" s="17"/>
      <c r="G19" s="17"/>
      <c r="H19" s="17"/>
      <c r="I19" s="17"/>
      <c r="J19" s="14">
        <f t="shared" si="0"/>
        <v>3208</v>
      </c>
      <c r="K19" s="14">
        <f t="shared" si="1"/>
        <v>0</v>
      </c>
    </row>
    <row r="20" spans="2:11" x14ac:dyDescent="0.25">
      <c r="B20" s="18">
        <v>16</v>
      </c>
      <c r="C20" s="18">
        <v>1065</v>
      </c>
      <c r="D20" s="18">
        <f>C20*12</f>
        <v>12780</v>
      </c>
      <c r="E20" s="18">
        <f>C20*12</f>
        <v>12780</v>
      </c>
      <c r="F20" s="18">
        <v>12780</v>
      </c>
      <c r="G20" s="18">
        <v>1</v>
      </c>
      <c r="H20" s="18">
        <v>32028</v>
      </c>
      <c r="I20" s="18">
        <v>6284</v>
      </c>
      <c r="J20" s="15">
        <f t="shared" si="0"/>
        <v>38340</v>
      </c>
      <c r="K20" s="15">
        <f t="shared" si="1"/>
        <v>4000</v>
      </c>
    </row>
    <row r="21" spans="2:11" x14ac:dyDescent="0.25">
      <c r="B21" s="17">
        <v>17</v>
      </c>
      <c r="C21" s="17">
        <v>802</v>
      </c>
      <c r="D21" s="17">
        <f>C21*12</f>
        <v>9624</v>
      </c>
      <c r="E21" s="17"/>
      <c r="F21" s="17"/>
      <c r="G21" s="17"/>
      <c r="H21" s="17"/>
      <c r="I21" s="17"/>
      <c r="J21" s="14">
        <f t="shared" si="0"/>
        <v>9624</v>
      </c>
      <c r="K21" s="14">
        <f t="shared" si="1"/>
        <v>0</v>
      </c>
    </row>
    <row r="22" spans="2:11" x14ac:dyDescent="0.25">
      <c r="B22" s="20">
        <v>18</v>
      </c>
      <c r="C22" s="20">
        <v>797</v>
      </c>
      <c r="D22" s="20"/>
      <c r="E22" s="20"/>
      <c r="F22" s="20"/>
      <c r="G22" s="20"/>
      <c r="H22" s="20"/>
      <c r="I22" s="20"/>
      <c r="J22" s="21">
        <f t="shared" si="0"/>
        <v>0</v>
      </c>
      <c r="K22" s="21">
        <f t="shared" si="1"/>
        <v>0</v>
      </c>
    </row>
    <row r="23" spans="2:11" x14ac:dyDescent="0.25">
      <c r="B23" s="20">
        <v>19</v>
      </c>
      <c r="C23" s="20">
        <v>783</v>
      </c>
      <c r="D23" s="20"/>
      <c r="E23" s="20"/>
      <c r="F23" s="20"/>
      <c r="G23" s="20"/>
      <c r="H23" s="20"/>
      <c r="I23" s="20"/>
      <c r="J23" s="21">
        <f t="shared" si="0"/>
        <v>0</v>
      </c>
      <c r="K23" s="21">
        <f t="shared" si="1"/>
        <v>0</v>
      </c>
    </row>
    <row r="24" spans="2:11" x14ac:dyDescent="0.25">
      <c r="B24" s="17">
        <v>20</v>
      </c>
      <c r="C24" s="17">
        <v>732</v>
      </c>
      <c r="D24" s="17">
        <f>C24*12</f>
        <v>8784</v>
      </c>
      <c r="E24" s="17"/>
      <c r="F24" s="17"/>
      <c r="G24" s="17"/>
      <c r="H24" s="17"/>
      <c r="I24" s="17"/>
      <c r="J24" s="14">
        <f t="shared" si="0"/>
        <v>8784</v>
      </c>
      <c r="K24" s="14">
        <f t="shared" si="1"/>
        <v>0</v>
      </c>
    </row>
    <row r="25" spans="2:11" x14ac:dyDescent="0.25">
      <c r="B25" s="17">
        <v>21</v>
      </c>
      <c r="C25" s="17">
        <v>763</v>
      </c>
      <c r="D25" s="17">
        <f>C25*12</f>
        <v>9156</v>
      </c>
      <c r="E25" s="17"/>
      <c r="F25" s="17"/>
      <c r="G25" s="17"/>
      <c r="H25" s="17"/>
      <c r="I25" s="17"/>
      <c r="J25" s="14">
        <f t="shared" si="0"/>
        <v>9156</v>
      </c>
      <c r="K25" s="14">
        <f t="shared" si="1"/>
        <v>0</v>
      </c>
    </row>
    <row r="26" spans="2:11" x14ac:dyDescent="0.25">
      <c r="B26" s="20">
        <v>22</v>
      </c>
      <c r="C26" s="20">
        <v>845</v>
      </c>
      <c r="D26" s="20"/>
      <c r="E26" s="20"/>
      <c r="F26" s="20"/>
      <c r="G26" s="20"/>
      <c r="H26" s="20"/>
      <c r="I26" s="20"/>
      <c r="J26" s="21">
        <f t="shared" si="0"/>
        <v>0</v>
      </c>
      <c r="K26" s="21">
        <f t="shared" si="1"/>
        <v>0</v>
      </c>
    </row>
    <row r="27" spans="2:11" x14ac:dyDescent="0.25">
      <c r="B27" s="20">
        <v>23</v>
      </c>
      <c r="C27" s="20">
        <v>823</v>
      </c>
      <c r="D27" s="20"/>
      <c r="E27" s="20"/>
      <c r="F27" s="20"/>
      <c r="G27" s="20"/>
      <c r="H27" s="20"/>
      <c r="I27" s="20"/>
      <c r="J27" s="21">
        <f t="shared" si="0"/>
        <v>0</v>
      </c>
      <c r="K27" s="21">
        <f t="shared" si="1"/>
        <v>0</v>
      </c>
    </row>
    <row r="28" spans="2:11" x14ac:dyDescent="0.25">
      <c r="B28" s="17">
        <v>24</v>
      </c>
      <c r="C28" s="17">
        <v>810</v>
      </c>
      <c r="D28" s="17">
        <f>C28*6-670</f>
        <v>4190</v>
      </c>
      <c r="E28" s="17"/>
      <c r="F28" s="17"/>
      <c r="G28" s="17"/>
      <c r="H28" s="17"/>
      <c r="I28" s="17"/>
      <c r="J28" s="14">
        <f t="shared" si="0"/>
        <v>4190</v>
      </c>
      <c r="K28" s="14">
        <f t="shared" si="1"/>
        <v>0</v>
      </c>
    </row>
    <row r="29" spans="2:11" x14ac:dyDescent="0.25">
      <c r="B29" s="18">
        <v>25</v>
      </c>
      <c r="C29" s="18">
        <v>795</v>
      </c>
      <c r="D29" s="18">
        <f>C29*12</f>
        <v>9540</v>
      </c>
      <c r="E29" s="18">
        <f>C29*12</f>
        <v>9540</v>
      </c>
      <c r="F29" s="18">
        <v>9540</v>
      </c>
      <c r="G29" s="18">
        <v>1</v>
      </c>
      <c r="H29" s="18">
        <v>47526</v>
      </c>
      <c r="I29" s="18"/>
      <c r="J29" s="15">
        <f t="shared" si="0"/>
        <v>28620</v>
      </c>
      <c r="K29" s="15">
        <f t="shared" si="1"/>
        <v>4000</v>
      </c>
    </row>
    <row r="30" spans="2:11" x14ac:dyDescent="0.25">
      <c r="B30" s="18">
        <v>26</v>
      </c>
      <c r="C30" s="18">
        <v>770</v>
      </c>
      <c r="D30" s="18">
        <f>C30*12</f>
        <v>9240</v>
      </c>
      <c r="E30" s="18">
        <f>C30*12</f>
        <v>9240</v>
      </c>
      <c r="F30" s="18"/>
      <c r="G30" s="18"/>
      <c r="H30" s="18"/>
      <c r="I30" s="18"/>
      <c r="J30" s="15">
        <f t="shared" si="0"/>
        <v>18480</v>
      </c>
      <c r="K30" s="15">
        <f t="shared" si="1"/>
        <v>0</v>
      </c>
    </row>
    <row r="31" spans="2:11" x14ac:dyDescent="0.25">
      <c r="B31" s="17">
        <v>27</v>
      </c>
      <c r="C31" s="17">
        <v>905</v>
      </c>
      <c r="D31" s="17">
        <f>C31*12</f>
        <v>10860</v>
      </c>
      <c r="E31" s="17"/>
      <c r="F31" s="17"/>
      <c r="G31" s="17"/>
      <c r="H31" s="17"/>
      <c r="I31" s="17"/>
      <c r="J31" s="14">
        <f t="shared" si="0"/>
        <v>10860</v>
      </c>
      <c r="K31" s="14">
        <f t="shared" si="1"/>
        <v>0</v>
      </c>
    </row>
    <row r="32" spans="2:11" x14ac:dyDescent="0.25">
      <c r="B32" s="20">
        <v>28</v>
      </c>
      <c r="C32" s="20">
        <v>802</v>
      </c>
      <c r="D32" s="20"/>
      <c r="E32" s="20"/>
      <c r="F32" s="20"/>
      <c r="G32" s="20"/>
      <c r="H32" s="20"/>
      <c r="I32" s="20"/>
      <c r="J32" s="21">
        <f t="shared" si="0"/>
        <v>0</v>
      </c>
      <c r="K32" s="21">
        <f t="shared" si="1"/>
        <v>0</v>
      </c>
    </row>
    <row r="33" spans="2:11" x14ac:dyDescent="0.25">
      <c r="B33" s="17">
        <v>29</v>
      </c>
      <c r="C33" s="17">
        <v>864</v>
      </c>
      <c r="D33" s="17">
        <f>C33*12</f>
        <v>10368</v>
      </c>
      <c r="E33" s="17"/>
      <c r="F33" s="17"/>
      <c r="G33" s="17"/>
      <c r="H33" s="17"/>
      <c r="I33" s="17">
        <v>5212</v>
      </c>
      <c r="J33" s="14">
        <f t="shared" si="0"/>
        <v>10368</v>
      </c>
      <c r="K33" s="14">
        <f t="shared" si="1"/>
        <v>0</v>
      </c>
    </row>
    <row r="34" spans="2:11" x14ac:dyDescent="0.25">
      <c r="B34" s="18">
        <v>30</v>
      </c>
      <c r="C34" s="18">
        <v>823</v>
      </c>
      <c r="D34" s="18">
        <f>C34*12</f>
        <v>9876</v>
      </c>
      <c r="E34" s="18">
        <f>C34*12</f>
        <v>9876</v>
      </c>
      <c r="F34" s="18"/>
      <c r="G34" s="18">
        <v>1</v>
      </c>
      <c r="H34" s="18"/>
      <c r="I34" s="18"/>
      <c r="J34" s="15">
        <f t="shared" si="0"/>
        <v>19752</v>
      </c>
      <c r="K34" s="15">
        <f t="shared" si="1"/>
        <v>4000</v>
      </c>
    </row>
    <row r="35" spans="2:11" x14ac:dyDescent="0.25">
      <c r="B35" s="18">
        <v>31</v>
      </c>
      <c r="C35" s="18">
        <v>905</v>
      </c>
      <c r="D35" s="18">
        <f>C35*12</f>
        <v>10860</v>
      </c>
      <c r="E35" s="18">
        <f>C35*12</f>
        <v>10860</v>
      </c>
      <c r="F35" s="18"/>
      <c r="G35" s="18"/>
      <c r="H35" s="18"/>
      <c r="I35" s="18"/>
      <c r="J35" s="15">
        <f t="shared" si="0"/>
        <v>21720</v>
      </c>
      <c r="K35" s="15">
        <f t="shared" si="1"/>
        <v>0</v>
      </c>
    </row>
    <row r="36" spans="2:11" x14ac:dyDescent="0.25">
      <c r="B36" s="18">
        <v>32</v>
      </c>
      <c r="C36" s="18">
        <v>887</v>
      </c>
      <c r="D36" s="18">
        <f>C36*12</f>
        <v>10644</v>
      </c>
      <c r="E36" s="18">
        <f>C36*12</f>
        <v>10644</v>
      </c>
      <c r="F36" s="18">
        <v>10644</v>
      </c>
      <c r="G36" s="18"/>
      <c r="H36" s="18">
        <v>32010</v>
      </c>
      <c r="I36" s="18"/>
      <c r="J36" s="15">
        <f t="shared" si="0"/>
        <v>31932</v>
      </c>
      <c r="K36" s="15">
        <f t="shared" si="1"/>
        <v>0</v>
      </c>
    </row>
    <row r="37" spans="2:11" x14ac:dyDescent="0.25">
      <c r="B37" s="17">
        <v>33</v>
      </c>
      <c r="C37" s="17">
        <v>868</v>
      </c>
      <c r="D37" s="17">
        <f>C37*7-658</f>
        <v>5418</v>
      </c>
      <c r="E37" s="17"/>
      <c r="F37" s="17"/>
      <c r="G37" s="17"/>
      <c r="H37" s="17"/>
      <c r="I37" s="17"/>
      <c r="J37" s="14">
        <f t="shared" si="0"/>
        <v>5418</v>
      </c>
      <c r="K37" s="14">
        <f t="shared" si="1"/>
        <v>0</v>
      </c>
    </row>
    <row r="38" spans="2:11" x14ac:dyDescent="0.25">
      <c r="B38" s="17">
        <v>34</v>
      </c>
      <c r="C38" s="17">
        <v>880</v>
      </c>
      <c r="D38" s="17">
        <f>C38*12</f>
        <v>10560</v>
      </c>
      <c r="E38" s="17"/>
      <c r="F38" s="17"/>
      <c r="G38" s="17">
        <v>1</v>
      </c>
      <c r="H38" s="17"/>
      <c r="I38" s="17"/>
      <c r="J38" s="14">
        <f t="shared" si="0"/>
        <v>10560</v>
      </c>
      <c r="K38" s="14">
        <f t="shared" si="1"/>
        <v>4000</v>
      </c>
    </row>
    <row r="39" spans="2:11" x14ac:dyDescent="0.25">
      <c r="B39" s="17">
        <v>35</v>
      </c>
      <c r="C39" s="17">
        <v>958</v>
      </c>
      <c r="D39" s="17">
        <f>C39*6</f>
        <v>5748</v>
      </c>
      <c r="E39" s="17"/>
      <c r="F39" s="17"/>
      <c r="G39" s="17"/>
      <c r="H39" s="17"/>
      <c r="I39" s="17"/>
      <c r="J39" s="14">
        <f t="shared" si="0"/>
        <v>5748</v>
      </c>
      <c r="K39" s="14">
        <f t="shared" si="1"/>
        <v>0</v>
      </c>
    </row>
    <row r="40" spans="2:11" x14ac:dyDescent="0.25">
      <c r="B40" s="17">
        <v>36</v>
      </c>
      <c r="C40" s="17">
        <v>905</v>
      </c>
      <c r="D40" s="17">
        <f>C40*12</f>
        <v>10860</v>
      </c>
      <c r="E40" s="17"/>
      <c r="F40" s="17"/>
      <c r="G40" s="17">
        <v>1</v>
      </c>
      <c r="H40" s="17"/>
      <c r="I40" s="17"/>
      <c r="J40" s="14">
        <f t="shared" si="0"/>
        <v>10860</v>
      </c>
      <c r="K40" s="14">
        <f t="shared" si="1"/>
        <v>4000</v>
      </c>
    </row>
    <row r="41" spans="2:11" x14ac:dyDescent="0.25">
      <c r="B41" s="17">
        <v>37</v>
      </c>
      <c r="C41" s="17">
        <v>918</v>
      </c>
      <c r="D41" s="17">
        <f>C41*1-508</f>
        <v>410</v>
      </c>
      <c r="E41" s="17"/>
      <c r="F41" s="17"/>
      <c r="G41" s="17">
        <v>1</v>
      </c>
      <c r="H41" s="17"/>
      <c r="I41" s="17"/>
      <c r="J41" s="14">
        <f t="shared" si="0"/>
        <v>410</v>
      </c>
      <c r="K41" s="14">
        <f t="shared" si="1"/>
        <v>4000</v>
      </c>
    </row>
    <row r="42" spans="2:11" x14ac:dyDescent="0.25">
      <c r="B42" s="17">
        <v>38</v>
      </c>
      <c r="C42" s="17">
        <v>1148</v>
      </c>
      <c r="D42" s="17">
        <f>C42*6</f>
        <v>6888</v>
      </c>
      <c r="E42" s="17"/>
      <c r="F42" s="17"/>
      <c r="G42" s="17"/>
      <c r="H42" s="17"/>
      <c r="I42" s="17"/>
      <c r="J42" s="14">
        <f t="shared" si="0"/>
        <v>6888</v>
      </c>
      <c r="K42" s="14">
        <f t="shared" si="1"/>
        <v>0</v>
      </c>
    </row>
    <row r="43" spans="2:11" x14ac:dyDescent="0.25">
      <c r="B43" s="17">
        <v>39</v>
      </c>
      <c r="C43" s="17">
        <v>980</v>
      </c>
      <c r="D43" s="17">
        <f>C43*12</f>
        <v>11760</v>
      </c>
      <c r="E43" s="17">
        <f>C43*7</f>
        <v>6860</v>
      </c>
      <c r="F43" s="17"/>
      <c r="G43" s="17"/>
      <c r="H43" s="17"/>
      <c r="I43" s="17">
        <v>12861</v>
      </c>
      <c r="J43" s="14">
        <f t="shared" si="0"/>
        <v>18620</v>
      </c>
      <c r="K43" s="14">
        <f t="shared" si="1"/>
        <v>0</v>
      </c>
    </row>
    <row r="44" spans="2:11" x14ac:dyDescent="0.25">
      <c r="B44" s="17">
        <v>40</v>
      </c>
      <c r="C44" s="17">
        <v>891</v>
      </c>
      <c r="D44" s="17">
        <f>C44*11-417</f>
        <v>9384</v>
      </c>
      <c r="E44" s="17"/>
      <c r="F44" s="17"/>
      <c r="G44" s="17"/>
      <c r="H44" s="17"/>
      <c r="I44" s="17"/>
      <c r="J44" s="14">
        <f t="shared" si="0"/>
        <v>9384</v>
      </c>
      <c r="K44" s="14">
        <f t="shared" si="1"/>
        <v>0</v>
      </c>
    </row>
    <row r="45" spans="2:11" x14ac:dyDescent="0.25">
      <c r="B45" s="17">
        <v>41</v>
      </c>
      <c r="C45" s="17">
        <v>987</v>
      </c>
      <c r="D45" s="17">
        <f>C45*9-130</f>
        <v>8753</v>
      </c>
      <c r="E45" s="17"/>
      <c r="F45" s="17"/>
      <c r="G45" s="17"/>
      <c r="H45" s="17"/>
      <c r="I45" s="17"/>
      <c r="J45" s="14">
        <f t="shared" si="0"/>
        <v>8753</v>
      </c>
      <c r="K45" s="14">
        <f t="shared" si="1"/>
        <v>0</v>
      </c>
    </row>
    <row r="46" spans="2:11" x14ac:dyDescent="0.25">
      <c r="B46" s="18">
        <v>42</v>
      </c>
      <c r="C46" s="18">
        <v>878</v>
      </c>
      <c r="D46" s="18">
        <f>C46*12</f>
        <v>10536</v>
      </c>
      <c r="E46" s="18">
        <f>C46*12</f>
        <v>10536</v>
      </c>
      <c r="F46" s="18">
        <v>20848</v>
      </c>
      <c r="G46" s="18"/>
      <c r="H46" s="18"/>
      <c r="I46" s="18"/>
      <c r="J46" s="15">
        <f t="shared" si="0"/>
        <v>41920</v>
      </c>
      <c r="K46" s="15">
        <f t="shared" si="1"/>
        <v>0</v>
      </c>
    </row>
    <row r="47" spans="2:11" x14ac:dyDescent="0.25">
      <c r="B47" s="17">
        <v>43</v>
      </c>
      <c r="C47" s="17">
        <v>851</v>
      </c>
      <c r="D47" s="17">
        <f>C47*12</f>
        <v>10212</v>
      </c>
      <c r="E47" s="17"/>
      <c r="F47" s="17"/>
      <c r="G47" s="17"/>
      <c r="H47" s="17"/>
      <c r="I47" s="17"/>
      <c r="J47" s="14">
        <f t="shared" si="0"/>
        <v>10212</v>
      </c>
      <c r="K47" s="14">
        <f t="shared" si="1"/>
        <v>0</v>
      </c>
    </row>
    <row r="48" spans="2:11" x14ac:dyDescent="0.25">
      <c r="B48" s="17">
        <v>44</v>
      </c>
      <c r="C48" s="17">
        <v>864</v>
      </c>
      <c r="D48" s="17">
        <f>C48*10</f>
        <v>8640</v>
      </c>
      <c r="E48" s="17"/>
      <c r="F48" s="17"/>
      <c r="G48" s="17"/>
      <c r="H48" s="17"/>
      <c r="I48" s="17">
        <v>4224</v>
      </c>
      <c r="J48" s="14">
        <f t="shared" si="0"/>
        <v>8640</v>
      </c>
      <c r="K48" s="14">
        <f t="shared" si="1"/>
        <v>0</v>
      </c>
    </row>
    <row r="49" spans="2:11" x14ac:dyDescent="0.25">
      <c r="B49" s="20">
        <v>45</v>
      </c>
      <c r="C49" s="20">
        <v>852</v>
      </c>
      <c r="D49" s="20"/>
      <c r="E49" s="20"/>
      <c r="F49" s="20"/>
      <c r="G49" s="20"/>
      <c r="H49" s="20"/>
      <c r="I49" s="20"/>
      <c r="J49" s="21">
        <f t="shared" si="0"/>
        <v>0</v>
      </c>
      <c r="K49" s="21">
        <f t="shared" si="1"/>
        <v>0</v>
      </c>
    </row>
    <row r="50" spans="2:11" x14ac:dyDescent="0.25">
      <c r="B50" s="17">
        <v>46</v>
      </c>
      <c r="C50" s="17">
        <v>841</v>
      </c>
      <c r="D50" s="17">
        <f>C50*6</f>
        <v>5046</v>
      </c>
      <c r="E50" s="17"/>
      <c r="F50" s="17"/>
      <c r="G50" s="17"/>
      <c r="H50" s="17"/>
      <c r="I50" s="17"/>
      <c r="J50" s="14">
        <f t="shared" si="0"/>
        <v>5046</v>
      </c>
      <c r="K50" s="14">
        <f t="shared" si="1"/>
        <v>0</v>
      </c>
    </row>
    <row r="51" spans="2:11" x14ac:dyDescent="0.25">
      <c r="B51" s="17">
        <v>47</v>
      </c>
      <c r="C51" s="17">
        <v>855</v>
      </c>
      <c r="D51" s="17">
        <f>C51*12</f>
        <v>10260</v>
      </c>
      <c r="E51" s="17"/>
      <c r="F51" s="17"/>
      <c r="G51" s="17"/>
      <c r="H51" s="17"/>
      <c r="I51" s="17"/>
      <c r="J51" s="14">
        <f t="shared" si="0"/>
        <v>10260</v>
      </c>
      <c r="K51" s="14">
        <f t="shared" si="1"/>
        <v>0</v>
      </c>
    </row>
    <row r="52" spans="2:11" x14ac:dyDescent="0.25">
      <c r="B52" s="18">
        <v>48</v>
      </c>
      <c r="C52" s="18">
        <v>837</v>
      </c>
      <c r="D52" s="18">
        <f>C52*12</f>
        <v>10044</v>
      </c>
      <c r="E52" s="18">
        <f>C52*6</f>
        <v>5022</v>
      </c>
      <c r="F52" s="18"/>
      <c r="G52" s="18">
        <v>1</v>
      </c>
      <c r="H52" s="18"/>
      <c r="I52" s="18">
        <v>9849</v>
      </c>
      <c r="J52" s="15">
        <f t="shared" si="0"/>
        <v>15066</v>
      </c>
      <c r="K52" s="15">
        <f t="shared" si="1"/>
        <v>4000</v>
      </c>
    </row>
    <row r="53" spans="2:11" x14ac:dyDescent="0.25">
      <c r="B53" s="17">
        <v>49</v>
      </c>
      <c r="C53" s="17">
        <v>826</v>
      </c>
      <c r="D53" s="17"/>
      <c r="E53" s="17"/>
      <c r="F53" s="17"/>
      <c r="G53" s="17">
        <v>1</v>
      </c>
      <c r="H53" s="17"/>
      <c r="I53" s="17"/>
      <c r="J53" s="14">
        <f t="shared" si="0"/>
        <v>0</v>
      </c>
      <c r="K53" s="14">
        <f t="shared" si="1"/>
        <v>4000</v>
      </c>
    </row>
    <row r="54" spans="2:11" x14ac:dyDescent="0.25">
      <c r="B54" s="20">
        <v>50</v>
      </c>
      <c r="C54" s="20">
        <v>1114</v>
      </c>
      <c r="D54" s="20"/>
      <c r="E54" s="20"/>
      <c r="F54" s="20"/>
      <c r="G54" s="20"/>
      <c r="H54" s="20"/>
      <c r="I54" s="20"/>
      <c r="J54" s="21">
        <f t="shared" si="0"/>
        <v>0</v>
      </c>
      <c r="K54" s="21">
        <f t="shared" si="1"/>
        <v>0</v>
      </c>
    </row>
    <row r="55" spans="2:11" x14ac:dyDescent="0.25">
      <c r="B55" s="17">
        <v>51</v>
      </c>
      <c r="C55" s="17">
        <v>878</v>
      </c>
      <c r="D55" s="17">
        <f>C55*12</f>
        <v>10536</v>
      </c>
      <c r="E55" s="17"/>
      <c r="F55" s="17"/>
      <c r="G55" s="17"/>
      <c r="H55" s="17"/>
      <c r="I55" s="17"/>
      <c r="J55" s="14">
        <f t="shared" si="0"/>
        <v>10536</v>
      </c>
      <c r="K55" s="14">
        <f t="shared" si="1"/>
        <v>0</v>
      </c>
    </row>
    <row r="56" spans="2:11" x14ac:dyDescent="0.25">
      <c r="B56" s="18">
        <v>52</v>
      </c>
      <c r="C56" s="18">
        <v>851</v>
      </c>
      <c r="D56" s="18">
        <f>C56*12</f>
        <v>10212</v>
      </c>
      <c r="E56" s="18">
        <f>C56*12</f>
        <v>10212</v>
      </c>
      <c r="F56" s="18">
        <v>9633</v>
      </c>
      <c r="G56" s="18">
        <v>1</v>
      </c>
      <c r="H56" s="18"/>
      <c r="I56" s="18"/>
      <c r="J56" s="15">
        <f t="shared" si="0"/>
        <v>30057</v>
      </c>
      <c r="K56" s="15">
        <f t="shared" si="1"/>
        <v>4000</v>
      </c>
    </row>
    <row r="57" spans="2:11" x14ac:dyDescent="0.25">
      <c r="B57" s="17">
        <v>53</v>
      </c>
      <c r="C57" s="17">
        <v>799</v>
      </c>
      <c r="D57" s="17">
        <f>C57*6-206</f>
        <v>4588</v>
      </c>
      <c r="E57" s="17"/>
      <c r="F57" s="17"/>
      <c r="G57" s="17"/>
      <c r="H57" s="17"/>
      <c r="I57" s="17"/>
      <c r="J57" s="14">
        <f t="shared" si="0"/>
        <v>4588</v>
      </c>
      <c r="K57" s="14">
        <f t="shared" si="1"/>
        <v>0</v>
      </c>
    </row>
    <row r="58" spans="2:11" x14ac:dyDescent="0.25">
      <c r="B58" s="20">
        <v>54</v>
      </c>
      <c r="C58" s="20">
        <v>827</v>
      </c>
      <c r="D58" s="20"/>
      <c r="E58" s="20"/>
      <c r="F58" s="20"/>
      <c r="G58" s="20"/>
      <c r="H58" s="20"/>
      <c r="I58" s="20"/>
      <c r="J58" s="21">
        <f t="shared" si="0"/>
        <v>0</v>
      </c>
      <c r="K58" s="21">
        <f t="shared" si="1"/>
        <v>0</v>
      </c>
    </row>
    <row r="59" spans="2:11" x14ac:dyDescent="0.25">
      <c r="B59" s="17">
        <v>55</v>
      </c>
      <c r="C59" s="17">
        <v>851</v>
      </c>
      <c r="D59" s="17">
        <f>C59*2-320</f>
        <v>1382</v>
      </c>
      <c r="E59" s="17"/>
      <c r="F59" s="17"/>
      <c r="G59" s="17">
        <v>1</v>
      </c>
      <c r="H59" s="17"/>
      <c r="I59" s="17"/>
      <c r="J59" s="14">
        <f t="shared" si="0"/>
        <v>1382</v>
      </c>
      <c r="K59" s="14">
        <f t="shared" si="1"/>
        <v>4000</v>
      </c>
    </row>
    <row r="60" spans="2:11" x14ac:dyDescent="0.25">
      <c r="B60" s="20">
        <v>56</v>
      </c>
      <c r="C60" s="20">
        <v>716</v>
      </c>
      <c r="D60" s="20"/>
      <c r="E60" s="20"/>
      <c r="F60" s="20"/>
      <c r="G60" s="20"/>
      <c r="H60" s="20"/>
      <c r="I60" s="20"/>
      <c r="J60" s="21">
        <f t="shared" si="0"/>
        <v>0</v>
      </c>
      <c r="K60" s="21">
        <f t="shared" si="1"/>
        <v>0</v>
      </c>
    </row>
    <row r="61" spans="2:11" x14ac:dyDescent="0.25">
      <c r="B61" s="18">
        <v>57</v>
      </c>
      <c r="C61" s="18">
        <v>786</v>
      </c>
      <c r="D61" s="18">
        <f>C61*12</f>
        <v>9432</v>
      </c>
      <c r="E61" s="18">
        <f>C61*12</f>
        <v>9432</v>
      </c>
      <c r="F61" s="18">
        <v>9432</v>
      </c>
      <c r="G61" s="18">
        <v>1</v>
      </c>
      <c r="H61" s="18">
        <v>9432</v>
      </c>
      <c r="I61" s="18"/>
      <c r="J61" s="15">
        <f t="shared" si="0"/>
        <v>28296</v>
      </c>
      <c r="K61" s="15">
        <f t="shared" si="1"/>
        <v>4000</v>
      </c>
    </row>
    <row r="62" spans="2:11" x14ac:dyDescent="0.25">
      <c r="B62" s="17">
        <v>58</v>
      </c>
      <c r="C62" s="17">
        <v>783</v>
      </c>
      <c r="D62" s="17">
        <f>C62*5-123</f>
        <v>3792</v>
      </c>
      <c r="E62" s="17"/>
      <c r="F62" s="17"/>
      <c r="G62" s="17"/>
      <c r="H62" s="17"/>
      <c r="I62" s="17"/>
      <c r="J62" s="14">
        <f t="shared" si="0"/>
        <v>3792</v>
      </c>
      <c r="K62" s="14">
        <f t="shared" si="1"/>
        <v>0</v>
      </c>
    </row>
    <row r="63" spans="2:11" x14ac:dyDescent="0.25">
      <c r="B63" s="20">
        <v>59</v>
      </c>
      <c r="C63" s="20">
        <v>797</v>
      </c>
      <c r="D63" s="20"/>
      <c r="E63" s="20"/>
      <c r="F63" s="20"/>
      <c r="G63" s="20"/>
      <c r="H63" s="20"/>
      <c r="I63" s="20"/>
      <c r="J63" s="21">
        <f t="shared" si="0"/>
        <v>0</v>
      </c>
      <c r="K63" s="21">
        <f t="shared" si="1"/>
        <v>0</v>
      </c>
    </row>
    <row r="64" spans="2:11" x14ac:dyDescent="0.25">
      <c r="B64" s="18">
        <v>60</v>
      </c>
      <c r="C64" s="18">
        <v>797</v>
      </c>
      <c r="D64" s="18">
        <f>C64*12</f>
        <v>9564</v>
      </c>
      <c r="E64" s="18">
        <f>C64*7</f>
        <v>5579</v>
      </c>
      <c r="F64" s="18">
        <v>9564</v>
      </c>
      <c r="G64" s="18"/>
      <c r="H64" s="18">
        <v>10098</v>
      </c>
      <c r="I64" s="18">
        <v>20416</v>
      </c>
      <c r="J64" s="15">
        <f t="shared" si="0"/>
        <v>24707</v>
      </c>
      <c r="K64" s="15">
        <f t="shared" si="1"/>
        <v>0</v>
      </c>
    </row>
    <row r="65" spans="2:11" x14ac:dyDescent="0.25">
      <c r="B65" s="20">
        <v>61</v>
      </c>
      <c r="C65" s="20">
        <v>797</v>
      </c>
      <c r="D65" s="20"/>
      <c r="E65" s="20"/>
      <c r="F65" s="20"/>
      <c r="G65" s="20"/>
      <c r="H65" s="20"/>
      <c r="I65" s="20"/>
      <c r="J65" s="21">
        <f t="shared" si="0"/>
        <v>0</v>
      </c>
      <c r="K65" s="21">
        <f t="shared" si="1"/>
        <v>0</v>
      </c>
    </row>
    <row r="66" spans="2:11" x14ac:dyDescent="0.25">
      <c r="B66" s="18">
        <v>62</v>
      </c>
      <c r="C66" s="18">
        <v>891</v>
      </c>
      <c r="D66" s="18">
        <f>C66*12</f>
        <v>10692</v>
      </c>
      <c r="E66" s="18">
        <f>C66*12</f>
        <v>10692</v>
      </c>
      <c r="F66" s="18">
        <v>10692</v>
      </c>
      <c r="G66" s="18">
        <v>1</v>
      </c>
      <c r="H66" s="18">
        <v>56721</v>
      </c>
      <c r="I66" s="18"/>
      <c r="J66" s="15">
        <f t="shared" si="0"/>
        <v>32076</v>
      </c>
      <c r="K66" s="15">
        <f t="shared" si="1"/>
        <v>4000</v>
      </c>
    </row>
    <row r="67" spans="2:11" x14ac:dyDescent="0.25">
      <c r="B67" s="17">
        <v>63</v>
      </c>
      <c r="C67" s="17">
        <v>1323</v>
      </c>
      <c r="D67" s="17">
        <f>C67*12</f>
        <v>15876</v>
      </c>
      <c r="E67" s="17"/>
      <c r="F67" s="17"/>
      <c r="G67" s="17"/>
      <c r="H67" s="17"/>
      <c r="I67" s="17"/>
      <c r="J67" s="14">
        <f t="shared" si="0"/>
        <v>15876</v>
      </c>
      <c r="K67" s="14">
        <f t="shared" si="1"/>
        <v>0</v>
      </c>
    </row>
    <row r="68" spans="2:11" x14ac:dyDescent="0.25">
      <c r="B68" s="17">
        <v>64</v>
      </c>
      <c r="C68" s="17">
        <v>702</v>
      </c>
      <c r="D68" s="17">
        <f>C68*12</f>
        <v>8424</v>
      </c>
      <c r="E68" s="17"/>
      <c r="F68" s="17"/>
      <c r="G68" s="17"/>
      <c r="H68" s="17"/>
      <c r="I68" s="17"/>
      <c r="J68" s="14">
        <f t="shared" si="0"/>
        <v>8424</v>
      </c>
      <c r="K68" s="14">
        <f t="shared" si="1"/>
        <v>0</v>
      </c>
    </row>
    <row r="69" spans="2:11" x14ac:dyDescent="0.25">
      <c r="B69" s="17">
        <v>65</v>
      </c>
      <c r="C69" s="17">
        <v>675</v>
      </c>
      <c r="D69" s="17">
        <f>C69*6</f>
        <v>4050</v>
      </c>
      <c r="E69" s="17"/>
      <c r="F69" s="17"/>
      <c r="G69" s="17"/>
      <c r="H69" s="17"/>
      <c r="I69" s="17"/>
      <c r="J69" s="14">
        <f t="shared" ref="J69:J128" si="2">D69+E69+F69</f>
        <v>4050</v>
      </c>
      <c r="K69" s="14">
        <f t="shared" si="1"/>
        <v>0</v>
      </c>
    </row>
    <row r="70" spans="2:11" x14ac:dyDescent="0.25">
      <c r="B70" s="17">
        <v>66</v>
      </c>
      <c r="C70" s="17">
        <v>729</v>
      </c>
      <c r="D70" s="17">
        <f>C70*4-118</f>
        <v>2798</v>
      </c>
      <c r="E70" s="17"/>
      <c r="F70" s="17"/>
      <c r="G70" s="17">
        <v>1</v>
      </c>
      <c r="H70" s="17"/>
      <c r="I70" s="17"/>
      <c r="J70" s="14">
        <f t="shared" si="2"/>
        <v>2798</v>
      </c>
      <c r="K70" s="14">
        <f t="shared" ref="K70:K128" si="3">G70*4000</f>
        <v>4000</v>
      </c>
    </row>
    <row r="71" spans="2:11" x14ac:dyDescent="0.25">
      <c r="B71" s="17">
        <v>67</v>
      </c>
      <c r="C71" s="17">
        <v>702</v>
      </c>
      <c r="D71" s="17">
        <f>C71*12</f>
        <v>8424</v>
      </c>
      <c r="E71" s="17"/>
      <c r="F71" s="17"/>
      <c r="G71" s="17">
        <v>1</v>
      </c>
      <c r="H71" s="17"/>
      <c r="I71" s="17"/>
      <c r="J71" s="14">
        <f t="shared" si="2"/>
        <v>8424</v>
      </c>
      <c r="K71" s="14">
        <f t="shared" si="3"/>
        <v>4000</v>
      </c>
    </row>
    <row r="72" spans="2:11" x14ac:dyDescent="0.25">
      <c r="B72" s="17">
        <v>68</v>
      </c>
      <c r="C72" s="17">
        <v>742</v>
      </c>
      <c r="D72" s="17">
        <f>C72*12</f>
        <v>8904</v>
      </c>
      <c r="E72" s="17"/>
      <c r="F72" s="17"/>
      <c r="G72" s="17"/>
      <c r="H72" s="17"/>
      <c r="I72" s="17"/>
      <c r="J72" s="14">
        <f t="shared" si="2"/>
        <v>8904</v>
      </c>
      <c r="K72" s="14">
        <f t="shared" si="3"/>
        <v>0</v>
      </c>
    </row>
    <row r="73" spans="2:11" x14ac:dyDescent="0.25">
      <c r="B73" s="20">
        <v>69</v>
      </c>
      <c r="C73" s="20">
        <v>688</v>
      </c>
      <c r="D73" s="20"/>
      <c r="E73" s="20"/>
      <c r="F73" s="20"/>
      <c r="G73" s="20"/>
      <c r="H73" s="20"/>
      <c r="I73" s="20"/>
      <c r="J73" s="21">
        <f t="shared" si="2"/>
        <v>0</v>
      </c>
      <c r="K73" s="21">
        <f t="shared" si="3"/>
        <v>0</v>
      </c>
    </row>
    <row r="74" spans="2:11" x14ac:dyDescent="0.25">
      <c r="B74" s="18">
        <v>70</v>
      </c>
      <c r="C74" s="18">
        <v>716</v>
      </c>
      <c r="D74" s="18">
        <f>C74*12</f>
        <v>8592</v>
      </c>
      <c r="E74" s="18">
        <f>C74*12</f>
        <v>8592</v>
      </c>
      <c r="F74" s="18">
        <v>8592</v>
      </c>
      <c r="G74" s="18">
        <v>1</v>
      </c>
      <c r="H74" s="18">
        <v>3888</v>
      </c>
      <c r="I74" s="18"/>
      <c r="J74" s="15">
        <f t="shared" si="2"/>
        <v>25776</v>
      </c>
      <c r="K74" s="15">
        <f t="shared" si="3"/>
        <v>4000</v>
      </c>
    </row>
    <row r="75" spans="2:11" x14ac:dyDescent="0.25">
      <c r="B75" s="17">
        <v>71</v>
      </c>
      <c r="C75" s="17">
        <v>716</v>
      </c>
      <c r="D75" s="17">
        <f>C75*12-108</f>
        <v>8484</v>
      </c>
      <c r="E75" s="17"/>
      <c r="F75" s="17"/>
      <c r="G75" s="17"/>
      <c r="H75" s="17"/>
      <c r="I75" s="17"/>
      <c r="J75" s="14">
        <f t="shared" si="2"/>
        <v>8484</v>
      </c>
      <c r="K75" s="14">
        <f t="shared" si="3"/>
        <v>0</v>
      </c>
    </row>
    <row r="76" spans="2:11" x14ac:dyDescent="0.25">
      <c r="B76" s="18">
        <v>72</v>
      </c>
      <c r="C76" s="18">
        <v>729</v>
      </c>
      <c r="D76" s="18">
        <f>C76*12</f>
        <v>8748</v>
      </c>
      <c r="E76" s="18">
        <f>C76*12</f>
        <v>8748</v>
      </c>
      <c r="F76" s="18">
        <v>8592</v>
      </c>
      <c r="G76" s="18">
        <v>1</v>
      </c>
      <c r="H76" s="18">
        <v>43621</v>
      </c>
      <c r="I76" s="18"/>
      <c r="J76" s="15">
        <f t="shared" si="2"/>
        <v>26088</v>
      </c>
      <c r="K76" s="15">
        <f t="shared" si="3"/>
        <v>4000</v>
      </c>
    </row>
    <row r="77" spans="2:11" x14ac:dyDescent="0.25">
      <c r="B77" s="17">
        <v>73</v>
      </c>
      <c r="C77" s="17">
        <v>635</v>
      </c>
      <c r="D77" s="17">
        <f>C77*2-291</f>
        <v>979</v>
      </c>
      <c r="E77" s="17"/>
      <c r="F77" s="17"/>
      <c r="G77" s="17"/>
      <c r="H77" s="17"/>
      <c r="I77" s="17"/>
      <c r="J77" s="14">
        <f t="shared" si="2"/>
        <v>979</v>
      </c>
      <c r="K77" s="14">
        <f t="shared" si="3"/>
        <v>0</v>
      </c>
    </row>
    <row r="78" spans="2:11" x14ac:dyDescent="0.25">
      <c r="B78" s="18">
        <v>74</v>
      </c>
      <c r="C78" s="18">
        <v>702</v>
      </c>
      <c r="D78" s="18">
        <f>C78*12</f>
        <v>8424</v>
      </c>
      <c r="E78" s="18">
        <f>C78*12</f>
        <v>8424</v>
      </c>
      <c r="F78" s="18">
        <v>8424</v>
      </c>
      <c r="G78" s="18">
        <v>1</v>
      </c>
      <c r="H78" s="18">
        <v>6432</v>
      </c>
      <c r="I78" s="18"/>
      <c r="J78" s="15">
        <f t="shared" si="2"/>
        <v>25272</v>
      </c>
      <c r="K78" s="15">
        <f t="shared" si="3"/>
        <v>4000</v>
      </c>
    </row>
    <row r="79" spans="2:11" x14ac:dyDescent="0.25">
      <c r="B79" s="18">
        <v>75</v>
      </c>
      <c r="C79" s="18">
        <v>702</v>
      </c>
      <c r="D79" s="18">
        <f>C79*12</f>
        <v>8424</v>
      </c>
      <c r="E79" s="18">
        <f>C79*12</f>
        <v>8424</v>
      </c>
      <c r="F79" s="18">
        <v>8424</v>
      </c>
      <c r="G79" s="18">
        <v>1</v>
      </c>
      <c r="H79" s="18">
        <v>11526</v>
      </c>
      <c r="I79" s="18"/>
      <c r="J79" s="15">
        <f t="shared" si="2"/>
        <v>25272</v>
      </c>
      <c r="K79" s="15">
        <f t="shared" si="3"/>
        <v>4000</v>
      </c>
    </row>
    <row r="80" spans="2:11" x14ac:dyDescent="0.25">
      <c r="B80" s="20">
        <v>76</v>
      </c>
      <c r="C80" s="20">
        <v>702</v>
      </c>
      <c r="D80" s="20"/>
      <c r="E80" s="20"/>
      <c r="F80" s="20"/>
      <c r="G80" s="20"/>
      <c r="H80" s="20"/>
      <c r="I80" s="20"/>
      <c r="J80" s="21">
        <f t="shared" si="2"/>
        <v>0</v>
      </c>
      <c r="K80" s="21">
        <f t="shared" si="3"/>
        <v>0</v>
      </c>
    </row>
    <row r="81" spans="2:11" x14ac:dyDescent="0.25">
      <c r="B81" s="20">
        <v>77</v>
      </c>
      <c r="C81" s="20">
        <v>729</v>
      </c>
      <c r="D81" s="20"/>
      <c r="E81" s="20"/>
      <c r="F81" s="20"/>
      <c r="G81" s="20"/>
      <c r="H81" s="20"/>
      <c r="I81" s="20"/>
      <c r="J81" s="21">
        <f t="shared" si="2"/>
        <v>0</v>
      </c>
      <c r="K81" s="21">
        <f t="shared" si="3"/>
        <v>0</v>
      </c>
    </row>
    <row r="82" spans="2:11" x14ac:dyDescent="0.25">
      <c r="B82" s="17">
        <v>78</v>
      </c>
      <c r="C82" s="17">
        <v>742</v>
      </c>
      <c r="D82" s="17">
        <f>C82*12</f>
        <v>8904</v>
      </c>
      <c r="E82" s="17"/>
      <c r="F82" s="17"/>
      <c r="G82" s="17"/>
      <c r="H82" s="17"/>
      <c r="I82" s="17"/>
      <c r="J82" s="14">
        <f t="shared" si="2"/>
        <v>8904</v>
      </c>
      <c r="K82" s="14">
        <f t="shared" si="3"/>
        <v>0</v>
      </c>
    </row>
    <row r="83" spans="2:11" x14ac:dyDescent="0.25">
      <c r="B83" s="18">
        <v>79</v>
      </c>
      <c r="C83" s="18">
        <v>729</v>
      </c>
      <c r="D83" s="18">
        <f>C83*12</f>
        <v>8748</v>
      </c>
      <c r="E83" s="18">
        <f>C83*12</f>
        <v>8748</v>
      </c>
      <c r="F83" s="18"/>
      <c r="G83" s="18">
        <v>1</v>
      </c>
      <c r="H83" s="18"/>
      <c r="I83" s="18"/>
      <c r="J83" s="15">
        <f t="shared" si="2"/>
        <v>17496</v>
      </c>
      <c r="K83" s="15">
        <f t="shared" si="3"/>
        <v>4000</v>
      </c>
    </row>
    <row r="84" spans="2:11" x14ac:dyDescent="0.25">
      <c r="B84" s="18">
        <v>80</v>
      </c>
      <c r="C84" s="18">
        <v>675</v>
      </c>
      <c r="D84" s="18">
        <f>C84*12</f>
        <v>8100</v>
      </c>
      <c r="E84" s="18">
        <f>C84*12</f>
        <v>8100</v>
      </c>
      <c r="F84" s="18"/>
      <c r="G84" s="18"/>
      <c r="H84" s="18"/>
      <c r="I84" s="18"/>
      <c r="J84" s="15">
        <f t="shared" si="2"/>
        <v>16200</v>
      </c>
      <c r="K84" s="15">
        <f t="shared" si="3"/>
        <v>0</v>
      </c>
    </row>
    <row r="85" spans="2:11" x14ac:dyDescent="0.25">
      <c r="B85" s="17">
        <v>81</v>
      </c>
      <c r="C85" s="17">
        <v>730</v>
      </c>
      <c r="D85" s="17">
        <f>C85*5-186</f>
        <v>3464</v>
      </c>
      <c r="E85" s="17"/>
      <c r="F85" s="17"/>
      <c r="G85" s="17"/>
      <c r="H85" s="17"/>
      <c r="I85" s="17"/>
      <c r="J85" s="14">
        <f t="shared" si="2"/>
        <v>3464</v>
      </c>
      <c r="K85" s="14">
        <f t="shared" si="3"/>
        <v>0</v>
      </c>
    </row>
    <row r="86" spans="2:11" x14ac:dyDescent="0.25">
      <c r="B86" s="18">
        <v>82</v>
      </c>
      <c r="C86" s="18">
        <v>721</v>
      </c>
      <c r="D86" s="18">
        <f>C86*12</f>
        <v>8652</v>
      </c>
      <c r="E86" s="18">
        <f>C86*12</f>
        <v>8652</v>
      </c>
      <c r="F86" s="18">
        <v>7304</v>
      </c>
      <c r="G86" s="18">
        <v>1</v>
      </c>
      <c r="H86" s="18"/>
      <c r="I86" s="18"/>
      <c r="J86" s="15">
        <f t="shared" si="2"/>
        <v>24608</v>
      </c>
      <c r="K86" s="15">
        <f t="shared" si="3"/>
        <v>4000</v>
      </c>
    </row>
    <row r="87" spans="2:11" x14ac:dyDescent="0.25">
      <c r="B87" s="17">
        <v>83</v>
      </c>
      <c r="C87" s="17">
        <v>716</v>
      </c>
      <c r="D87" s="17">
        <f>C87*11-692</f>
        <v>7184</v>
      </c>
      <c r="E87" s="17"/>
      <c r="F87" s="17"/>
      <c r="G87" s="17"/>
      <c r="H87" s="17"/>
      <c r="I87" s="17"/>
      <c r="J87" s="14">
        <f t="shared" si="2"/>
        <v>7184</v>
      </c>
      <c r="K87" s="14">
        <f t="shared" si="3"/>
        <v>0</v>
      </c>
    </row>
    <row r="88" spans="2:11" x14ac:dyDescent="0.25">
      <c r="B88" s="17">
        <v>84</v>
      </c>
      <c r="C88" s="17">
        <v>714</v>
      </c>
      <c r="D88" s="17">
        <f>C88*3</f>
        <v>2142</v>
      </c>
      <c r="E88" s="17"/>
      <c r="F88" s="17"/>
      <c r="G88" s="17"/>
      <c r="H88" s="17"/>
      <c r="I88" s="17"/>
      <c r="J88" s="14">
        <f t="shared" si="2"/>
        <v>2142</v>
      </c>
      <c r="K88" s="14">
        <f t="shared" si="3"/>
        <v>0</v>
      </c>
    </row>
    <row r="89" spans="2:11" x14ac:dyDescent="0.25">
      <c r="B89" s="18">
        <v>85</v>
      </c>
      <c r="C89" s="18">
        <v>770</v>
      </c>
      <c r="D89" s="18">
        <f>C89*12</f>
        <v>9240</v>
      </c>
      <c r="E89" s="18">
        <f>C89*12</f>
        <v>9240</v>
      </c>
      <c r="F89" s="18">
        <v>9240</v>
      </c>
      <c r="G89" s="18"/>
      <c r="H89" s="18">
        <v>48254</v>
      </c>
      <c r="I89" s="18"/>
      <c r="J89" s="15">
        <f t="shared" si="2"/>
        <v>27720</v>
      </c>
      <c r="K89" s="15">
        <f t="shared" si="3"/>
        <v>0</v>
      </c>
    </row>
    <row r="90" spans="2:11" x14ac:dyDescent="0.25">
      <c r="B90" s="18">
        <v>86</v>
      </c>
      <c r="C90" s="18">
        <v>716</v>
      </c>
      <c r="D90" s="18">
        <f>C90*12</f>
        <v>8592</v>
      </c>
      <c r="E90" s="18">
        <f>C90*12</f>
        <v>8592</v>
      </c>
      <c r="F90" s="18">
        <v>8592</v>
      </c>
      <c r="G90" s="18"/>
      <c r="H90" s="18">
        <v>42610</v>
      </c>
      <c r="I90" s="18"/>
      <c r="J90" s="15">
        <f t="shared" si="2"/>
        <v>25776</v>
      </c>
      <c r="K90" s="15">
        <f t="shared" si="3"/>
        <v>0</v>
      </c>
    </row>
    <row r="91" spans="2:11" x14ac:dyDescent="0.25">
      <c r="B91" s="17">
        <v>87</v>
      </c>
      <c r="C91" s="17">
        <v>716</v>
      </c>
      <c r="D91" s="17">
        <f>C91*12</f>
        <v>8592</v>
      </c>
      <c r="E91" s="17"/>
      <c r="F91" s="17"/>
      <c r="G91" s="17"/>
      <c r="H91" s="17"/>
      <c r="I91" s="17"/>
      <c r="J91" s="14">
        <f t="shared" si="2"/>
        <v>8592</v>
      </c>
      <c r="K91" s="14">
        <f t="shared" si="3"/>
        <v>0</v>
      </c>
    </row>
    <row r="92" spans="2:11" x14ac:dyDescent="0.25">
      <c r="B92" s="17">
        <v>88</v>
      </c>
      <c r="C92" s="17">
        <v>702</v>
      </c>
      <c r="D92" s="17">
        <f>C92*12</f>
        <v>8424</v>
      </c>
      <c r="E92" s="17"/>
      <c r="F92" s="17"/>
      <c r="G92" s="17"/>
      <c r="H92" s="17"/>
      <c r="I92" s="17"/>
      <c r="J92" s="14">
        <f t="shared" si="2"/>
        <v>8424</v>
      </c>
      <c r="K92" s="14">
        <f t="shared" si="3"/>
        <v>0</v>
      </c>
    </row>
    <row r="93" spans="2:11" x14ac:dyDescent="0.25">
      <c r="B93" s="17">
        <v>89</v>
      </c>
      <c r="C93" s="17">
        <v>688</v>
      </c>
      <c r="D93" s="17">
        <f>C93*5</f>
        <v>3440</v>
      </c>
      <c r="E93" s="17"/>
      <c r="F93" s="17"/>
      <c r="G93" s="17"/>
      <c r="H93" s="17"/>
      <c r="I93" s="17"/>
      <c r="J93" s="14">
        <f t="shared" si="2"/>
        <v>3440</v>
      </c>
      <c r="K93" s="14">
        <f t="shared" si="3"/>
        <v>0</v>
      </c>
    </row>
    <row r="94" spans="2:11" x14ac:dyDescent="0.25">
      <c r="B94" s="20">
        <v>90</v>
      </c>
      <c r="C94" s="20">
        <v>702</v>
      </c>
      <c r="D94" s="20"/>
      <c r="E94" s="20"/>
      <c r="F94" s="20"/>
      <c r="G94" s="20">
        <v>1</v>
      </c>
      <c r="H94" s="20"/>
      <c r="I94" s="20"/>
      <c r="J94" s="21">
        <f t="shared" si="2"/>
        <v>0</v>
      </c>
      <c r="K94" s="21">
        <f t="shared" si="3"/>
        <v>4000</v>
      </c>
    </row>
    <row r="95" spans="2:11" x14ac:dyDescent="0.25">
      <c r="B95" s="17">
        <v>91</v>
      </c>
      <c r="C95" s="17">
        <v>702</v>
      </c>
      <c r="D95" s="17">
        <f>C95*8</f>
        <v>5616</v>
      </c>
      <c r="E95" s="17"/>
      <c r="F95" s="17"/>
      <c r="G95" s="17"/>
      <c r="H95" s="17"/>
      <c r="I95" s="17"/>
      <c r="J95" s="14">
        <f t="shared" si="2"/>
        <v>5616</v>
      </c>
      <c r="K95" s="14">
        <f t="shared" si="3"/>
        <v>0</v>
      </c>
    </row>
    <row r="96" spans="2:11" x14ac:dyDescent="0.25">
      <c r="B96" s="20">
        <v>92</v>
      </c>
      <c r="C96" s="20">
        <f>684+944</f>
        <v>1628</v>
      </c>
      <c r="D96" s="20"/>
      <c r="E96" s="20"/>
      <c r="F96" s="20"/>
      <c r="G96" s="20"/>
      <c r="H96" s="20"/>
      <c r="I96" s="20"/>
      <c r="J96" s="21">
        <f t="shared" si="2"/>
        <v>0</v>
      </c>
      <c r="K96" s="21">
        <f t="shared" si="3"/>
        <v>0</v>
      </c>
    </row>
    <row r="97" spans="2:11" x14ac:dyDescent="0.25">
      <c r="B97" s="17">
        <v>94</v>
      </c>
      <c r="C97" s="17">
        <v>952</v>
      </c>
      <c r="D97" s="17">
        <f>C97*9</f>
        <v>8568</v>
      </c>
      <c r="E97" s="17"/>
      <c r="F97" s="17"/>
      <c r="G97" s="17"/>
      <c r="H97" s="17"/>
      <c r="I97" s="17"/>
      <c r="J97" s="14">
        <f t="shared" si="2"/>
        <v>8568</v>
      </c>
      <c r="K97" s="14">
        <f t="shared" si="3"/>
        <v>0</v>
      </c>
    </row>
    <row r="98" spans="2:11" x14ac:dyDescent="0.25">
      <c r="B98" s="17">
        <v>95</v>
      </c>
      <c r="C98" s="17">
        <v>1080</v>
      </c>
      <c r="D98" s="17">
        <f>C98*6</f>
        <v>6480</v>
      </c>
      <c r="E98" s="17"/>
      <c r="F98" s="17"/>
      <c r="G98" s="17"/>
      <c r="H98" s="17"/>
      <c r="I98" s="17">
        <v>5695</v>
      </c>
      <c r="J98" s="14">
        <f t="shared" si="2"/>
        <v>6480</v>
      </c>
      <c r="K98" s="14">
        <f t="shared" si="3"/>
        <v>0</v>
      </c>
    </row>
    <row r="99" spans="2:11" x14ac:dyDescent="0.25">
      <c r="B99" s="18">
        <v>96</v>
      </c>
      <c r="C99" s="18">
        <v>675</v>
      </c>
      <c r="D99" s="18">
        <f>C99*12</f>
        <v>8100</v>
      </c>
      <c r="E99" s="18">
        <f>C99*12</f>
        <v>8100</v>
      </c>
      <c r="F99" s="18">
        <v>8100</v>
      </c>
      <c r="G99" s="18"/>
      <c r="H99" s="18"/>
      <c r="I99" s="18"/>
      <c r="J99" s="15">
        <f t="shared" si="2"/>
        <v>24300</v>
      </c>
      <c r="K99" s="15">
        <f t="shared" si="3"/>
        <v>0</v>
      </c>
    </row>
    <row r="100" spans="2:11" x14ac:dyDescent="0.25">
      <c r="B100" s="17">
        <v>97</v>
      </c>
      <c r="C100" s="17">
        <v>716</v>
      </c>
      <c r="D100" s="17">
        <f>C100*5</f>
        <v>3580</v>
      </c>
      <c r="E100" s="17"/>
      <c r="F100" s="17"/>
      <c r="G100" s="17"/>
      <c r="H100" s="17"/>
      <c r="I100" s="17"/>
      <c r="J100" s="14">
        <f t="shared" si="2"/>
        <v>3580</v>
      </c>
      <c r="K100" s="14">
        <f t="shared" si="3"/>
        <v>0</v>
      </c>
    </row>
    <row r="101" spans="2:11" x14ac:dyDescent="0.25">
      <c r="B101" s="17">
        <v>98</v>
      </c>
      <c r="C101" s="17">
        <v>716</v>
      </c>
      <c r="D101" s="17">
        <f>C101*6</f>
        <v>4296</v>
      </c>
      <c r="E101" s="17"/>
      <c r="F101" s="17"/>
      <c r="G101" s="17"/>
      <c r="H101" s="17"/>
      <c r="I101" s="17"/>
      <c r="J101" s="14">
        <f t="shared" si="2"/>
        <v>4296</v>
      </c>
      <c r="K101" s="14">
        <f t="shared" si="3"/>
        <v>0</v>
      </c>
    </row>
    <row r="102" spans="2:11" x14ac:dyDescent="0.25">
      <c r="B102" s="17">
        <v>99</v>
      </c>
      <c r="C102" s="17">
        <v>648</v>
      </c>
      <c r="D102" s="17">
        <f>C102*6</f>
        <v>3888</v>
      </c>
      <c r="E102" s="17"/>
      <c r="F102" s="17"/>
      <c r="G102" s="17"/>
      <c r="H102" s="17"/>
      <c r="I102" s="17"/>
      <c r="J102" s="14">
        <f t="shared" si="2"/>
        <v>3888</v>
      </c>
      <c r="K102" s="14">
        <f t="shared" si="3"/>
        <v>0</v>
      </c>
    </row>
    <row r="103" spans="2:11" x14ac:dyDescent="0.25">
      <c r="B103" s="17">
        <v>100</v>
      </c>
      <c r="C103" s="17">
        <v>702</v>
      </c>
      <c r="D103" s="17">
        <f>C103*5-86</f>
        <v>3424</v>
      </c>
      <c r="E103" s="17"/>
      <c r="F103" s="17"/>
      <c r="G103" s="17">
        <v>1</v>
      </c>
      <c r="H103" s="17"/>
      <c r="I103" s="17">
        <v>1324</v>
      </c>
      <c r="J103" s="14">
        <f t="shared" si="2"/>
        <v>3424</v>
      </c>
      <c r="K103" s="14">
        <f t="shared" si="3"/>
        <v>4000</v>
      </c>
    </row>
    <row r="104" spans="2:11" x14ac:dyDescent="0.25">
      <c r="B104" s="17">
        <v>101</v>
      </c>
      <c r="C104" s="17">
        <v>783</v>
      </c>
      <c r="D104" s="17">
        <f>C104*12</f>
        <v>9396</v>
      </c>
      <c r="E104" s="17"/>
      <c r="F104" s="17"/>
      <c r="G104" s="17">
        <v>1</v>
      </c>
      <c r="H104" s="17"/>
      <c r="I104" s="17"/>
      <c r="J104" s="14">
        <f t="shared" si="2"/>
        <v>9396</v>
      </c>
      <c r="K104" s="14">
        <f t="shared" si="3"/>
        <v>4000</v>
      </c>
    </row>
    <row r="105" spans="2:11" x14ac:dyDescent="0.25">
      <c r="B105" s="20">
        <v>102</v>
      </c>
      <c r="C105" s="20">
        <v>738</v>
      </c>
      <c r="D105" s="20"/>
      <c r="E105" s="20"/>
      <c r="F105" s="20"/>
      <c r="G105" s="20">
        <v>1</v>
      </c>
      <c r="H105" s="20"/>
      <c r="I105" s="20"/>
      <c r="J105" s="21">
        <f t="shared" si="2"/>
        <v>0</v>
      </c>
      <c r="K105" s="21">
        <f t="shared" si="3"/>
        <v>4000</v>
      </c>
    </row>
    <row r="106" spans="2:11" x14ac:dyDescent="0.25">
      <c r="B106" s="18">
        <v>103</v>
      </c>
      <c r="C106" s="18">
        <v>526</v>
      </c>
      <c r="D106" s="18"/>
      <c r="E106" s="18">
        <f>C106*12</f>
        <v>6312</v>
      </c>
      <c r="F106" s="18">
        <v>6312</v>
      </c>
      <c r="G106" s="18"/>
      <c r="H106" s="18">
        <v>6312</v>
      </c>
      <c r="I106" s="18"/>
      <c r="J106" s="15">
        <f t="shared" si="2"/>
        <v>12624</v>
      </c>
      <c r="K106" s="15">
        <f t="shared" si="3"/>
        <v>0</v>
      </c>
    </row>
    <row r="107" spans="2:11" x14ac:dyDescent="0.25">
      <c r="B107" s="20">
        <v>104</v>
      </c>
      <c r="C107" s="20"/>
      <c r="D107" s="20">
        <f>C107*12</f>
        <v>0</v>
      </c>
      <c r="E107" s="20"/>
      <c r="F107" s="20"/>
      <c r="G107" s="20"/>
      <c r="H107" s="20"/>
      <c r="I107" s="20"/>
      <c r="J107" s="21">
        <f t="shared" si="2"/>
        <v>0</v>
      </c>
      <c r="K107" s="21">
        <f t="shared" si="3"/>
        <v>0</v>
      </c>
    </row>
    <row r="108" spans="2:11" x14ac:dyDescent="0.25">
      <c r="B108" s="17">
        <v>105</v>
      </c>
      <c r="C108" s="17">
        <v>783</v>
      </c>
      <c r="D108" s="17">
        <f>C108*12</f>
        <v>9396</v>
      </c>
      <c r="E108" s="17"/>
      <c r="F108" s="17"/>
      <c r="G108" s="17"/>
      <c r="H108" s="17"/>
      <c r="I108" s="17">
        <v>3255</v>
      </c>
      <c r="J108" s="14">
        <f t="shared" si="2"/>
        <v>9396</v>
      </c>
      <c r="K108" s="14">
        <f t="shared" si="3"/>
        <v>0</v>
      </c>
    </row>
    <row r="109" spans="2:11" x14ac:dyDescent="0.25">
      <c r="B109" s="17">
        <v>106</v>
      </c>
      <c r="C109" s="17">
        <v>813</v>
      </c>
      <c r="D109" s="17">
        <f>C109*3</f>
        <v>2439</v>
      </c>
      <c r="E109" s="17"/>
      <c r="F109" s="17"/>
      <c r="G109" s="17"/>
      <c r="H109" s="17"/>
      <c r="I109" s="17"/>
      <c r="J109" s="14">
        <f t="shared" si="2"/>
        <v>2439</v>
      </c>
      <c r="K109" s="14">
        <f t="shared" si="3"/>
        <v>0</v>
      </c>
    </row>
    <row r="110" spans="2:11" x14ac:dyDescent="0.25">
      <c r="B110" s="17">
        <v>107</v>
      </c>
      <c r="C110" s="17">
        <v>790</v>
      </c>
      <c r="D110" s="17">
        <f>C110*6-302</f>
        <v>4438</v>
      </c>
      <c r="E110" s="17"/>
      <c r="F110" s="17"/>
      <c r="G110" s="17">
        <v>1</v>
      </c>
      <c r="H110" s="17"/>
      <c r="I110" s="17"/>
      <c r="J110" s="14">
        <f t="shared" si="2"/>
        <v>4438</v>
      </c>
      <c r="K110" s="14">
        <f t="shared" si="3"/>
        <v>4000</v>
      </c>
    </row>
    <row r="111" spans="2:11" x14ac:dyDescent="0.25">
      <c r="B111" s="17">
        <v>108</v>
      </c>
      <c r="C111" s="17">
        <v>744</v>
      </c>
      <c r="D111" s="17">
        <f>C111*6-536</f>
        <v>3928</v>
      </c>
      <c r="E111" s="17"/>
      <c r="F111" s="17"/>
      <c r="G111" s="17">
        <v>1</v>
      </c>
      <c r="H111" s="17"/>
      <c r="I111" s="17"/>
      <c r="J111" s="14">
        <f t="shared" si="2"/>
        <v>3928</v>
      </c>
      <c r="K111" s="14">
        <f t="shared" si="3"/>
        <v>4000</v>
      </c>
    </row>
    <row r="112" spans="2:11" x14ac:dyDescent="0.25">
      <c r="B112" s="17">
        <v>109</v>
      </c>
      <c r="C112" s="17">
        <v>688</v>
      </c>
      <c r="D112" s="17">
        <f>C112*12</f>
        <v>8256</v>
      </c>
      <c r="E112" s="17"/>
      <c r="F112" s="17"/>
      <c r="G112" s="17">
        <v>1</v>
      </c>
      <c r="H112" s="17"/>
      <c r="I112" s="17"/>
      <c r="J112" s="14">
        <f t="shared" si="2"/>
        <v>8256</v>
      </c>
      <c r="K112" s="14">
        <f t="shared" si="3"/>
        <v>4000</v>
      </c>
    </row>
    <row r="113" spans="2:11" x14ac:dyDescent="0.25">
      <c r="B113" s="17">
        <v>110</v>
      </c>
      <c r="C113" s="17">
        <v>716</v>
      </c>
      <c r="D113" s="17">
        <f>C113*6</f>
        <v>4296</v>
      </c>
      <c r="E113" s="17"/>
      <c r="F113" s="17"/>
      <c r="G113" s="17">
        <v>1</v>
      </c>
      <c r="H113" s="17"/>
      <c r="I113" s="17"/>
      <c r="J113" s="14">
        <f t="shared" si="2"/>
        <v>4296</v>
      </c>
      <c r="K113" s="14">
        <f t="shared" si="3"/>
        <v>4000</v>
      </c>
    </row>
    <row r="114" spans="2:11" x14ac:dyDescent="0.25">
      <c r="B114" s="17">
        <v>111</v>
      </c>
      <c r="C114" s="17">
        <v>716</v>
      </c>
      <c r="D114" s="17"/>
      <c r="E114" s="17"/>
      <c r="F114" s="17"/>
      <c r="G114" s="17">
        <v>1</v>
      </c>
      <c r="H114" s="17"/>
      <c r="I114" s="17">
        <v>7762</v>
      </c>
      <c r="J114" s="14">
        <f t="shared" si="2"/>
        <v>0</v>
      </c>
      <c r="K114" s="14">
        <f t="shared" si="3"/>
        <v>4000</v>
      </c>
    </row>
    <row r="115" spans="2:11" x14ac:dyDescent="0.25">
      <c r="B115" s="18">
        <v>112</v>
      </c>
      <c r="C115" s="18">
        <v>716</v>
      </c>
      <c r="D115" s="18">
        <f>C115*12</f>
        <v>8592</v>
      </c>
      <c r="E115" s="18">
        <f>C115*12</f>
        <v>8592</v>
      </c>
      <c r="F115" s="18">
        <v>8592</v>
      </c>
      <c r="G115" s="18">
        <v>1</v>
      </c>
      <c r="H115" s="18">
        <v>36916</v>
      </c>
      <c r="I115" s="18"/>
      <c r="J115" s="15">
        <f t="shared" si="2"/>
        <v>25776</v>
      </c>
      <c r="K115" s="15">
        <f t="shared" si="3"/>
        <v>4000</v>
      </c>
    </row>
    <row r="116" spans="2:11" x14ac:dyDescent="0.25">
      <c r="B116" s="17">
        <v>113</v>
      </c>
      <c r="C116" s="17">
        <v>891</v>
      </c>
      <c r="D116" s="17">
        <f>C116*1</f>
        <v>891</v>
      </c>
      <c r="E116" s="17"/>
      <c r="F116" s="17"/>
      <c r="G116" s="17"/>
      <c r="H116" s="17"/>
      <c r="I116" s="17"/>
      <c r="J116" s="14">
        <f t="shared" si="2"/>
        <v>891</v>
      </c>
      <c r="K116" s="14">
        <f t="shared" si="3"/>
        <v>0</v>
      </c>
    </row>
    <row r="117" spans="2:11" x14ac:dyDescent="0.25">
      <c r="B117" s="20">
        <v>114</v>
      </c>
      <c r="C117" s="20">
        <v>799</v>
      </c>
      <c r="D117" s="20"/>
      <c r="E117" s="20"/>
      <c r="F117" s="20"/>
      <c r="G117" s="20">
        <v>1</v>
      </c>
      <c r="H117" s="20"/>
      <c r="I117" s="20"/>
      <c r="J117" s="21">
        <f t="shared" si="2"/>
        <v>0</v>
      </c>
      <c r="K117" s="21">
        <f t="shared" si="3"/>
        <v>4000</v>
      </c>
    </row>
    <row r="118" spans="2:11" x14ac:dyDescent="0.25">
      <c r="B118" s="18">
        <v>115</v>
      </c>
      <c r="C118" s="18">
        <v>810</v>
      </c>
      <c r="D118" s="18">
        <f>C118*12</f>
        <v>9720</v>
      </c>
      <c r="E118" s="18">
        <f>C118*12</f>
        <v>9720</v>
      </c>
      <c r="F118" s="18"/>
      <c r="G118" s="18">
        <v>1</v>
      </c>
      <c r="H118" s="18"/>
      <c r="I118" s="18"/>
      <c r="J118" s="15">
        <f t="shared" si="2"/>
        <v>19440</v>
      </c>
      <c r="K118" s="15">
        <f t="shared" si="3"/>
        <v>4000</v>
      </c>
    </row>
    <row r="119" spans="2:11" x14ac:dyDescent="0.25">
      <c r="B119" s="20">
        <v>116</v>
      </c>
      <c r="C119" s="20">
        <v>828</v>
      </c>
      <c r="D119" s="20"/>
      <c r="E119" s="20"/>
      <c r="F119" s="20"/>
      <c r="G119" s="20">
        <v>1</v>
      </c>
      <c r="H119" s="20"/>
      <c r="I119" s="20"/>
      <c r="J119" s="21">
        <f t="shared" si="2"/>
        <v>0</v>
      </c>
      <c r="K119" s="21">
        <f t="shared" si="3"/>
        <v>4000</v>
      </c>
    </row>
    <row r="120" spans="2:11" x14ac:dyDescent="0.25">
      <c r="B120" s="20">
        <v>117</v>
      </c>
      <c r="C120" s="20">
        <v>923</v>
      </c>
      <c r="D120" s="20"/>
      <c r="E120" s="20"/>
      <c r="F120" s="20"/>
      <c r="G120" s="20">
        <v>1</v>
      </c>
      <c r="H120" s="20"/>
      <c r="I120" s="20"/>
      <c r="J120" s="21">
        <f t="shared" si="2"/>
        <v>0</v>
      </c>
      <c r="K120" s="21">
        <f t="shared" si="3"/>
        <v>4000</v>
      </c>
    </row>
    <row r="121" spans="2:11" x14ac:dyDescent="0.25">
      <c r="B121" s="20">
        <v>118</v>
      </c>
      <c r="C121" s="20">
        <v>771</v>
      </c>
      <c r="D121" s="20"/>
      <c r="E121" s="20"/>
      <c r="F121" s="20"/>
      <c r="G121" s="20">
        <v>1</v>
      </c>
      <c r="H121" s="20"/>
      <c r="I121" s="20"/>
      <c r="J121" s="21">
        <f t="shared" si="2"/>
        <v>0</v>
      </c>
      <c r="K121" s="21">
        <f t="shared" si="3"/>
        <v>4000</v>
      </c>
    </row>
    <row r="122" spans="2:11" x14ac:dyDescent="0.25">
      <c r="B122" s="18">
        <v>119</v>
      </c>
      <c r="C122" s="18">
        <v>837</v>
      </c>
      <c r="D122" s="18">
        <f>C122*12</f>
        <v>10044</v>
      </c>
      <c r="E122" s="18">
        <f>C122*12</f>
        <v>10044</v>
      </c>
      <c r="F122" s="18">
        <v>10044</v>
      </c>
      <c r="G122" s="18">
        <v>1</v>
      </c>
      <c r="H122" s="18">
        <v>40104</v>
      </c>
      <c r="I122" s="18"/>
      <c r="J122" s="15">
        <f t="shared" si="2"/>
        <v>30132</v>
      </c>
      <c r="K122" s="15">
        <f t="shared" si="3"/>
        <v>4000</v>
      </c>
    </row>
    <row r="123" spans="2:11" x14ac:dyDescent="0.25">
      <c r="B123" s="20">
        <v>120</v>
      </c>
      <c r="C123" s="20">
        <v>891</v>
      </c>
      <c r="D123" s="20"/>
      <c r="E123" s="20"/>
      <c r="F123" s="20"/>
      <c r="G123" s="20">
        <v>1</v>
      </c>
      <c r="H123" s="20"/>
      <c r="I123" s="20"/>
      <c r="J123" s="21">
        <f t="shared" si="2"/>
        <v>0</v>
      </c>
      <c r="K123" s="21">
        <f t="shared" si="3"/>
        <v>4000</v>
      </c>
    </row>
    <row r="124" spans="2:11" x14ac:dyDescent="0.25">
      <c r="B124" s="20">
        <v>121</v>
      </c>
      <c r="C124" s="20">
        <v>822</v>
      </c>
      <c r="D124" s="20"/>
      <c r="E124" s="20"/>
      <c r="F124" s="20"/>
      <c r="G124" s="20">
        <v>1</v>
      </c>
      <c r="H124" s="20"/>
      <c r="I124" s="20"/>
      <c r="J124" s="21">
        <f t="shared" si="2"/>
        <v>0</v>
      </c>
      <c r="K124" s="21">
        <f t="shared" si="3"/>
        <v>4000</v>
      </c>
    </row>
    <row r="125" spans="2:11" x14ac:dyDescent="0.25">
      <c r="B125" s="20">
        <v>122</v>
      </c>
      <c r="C125" s="20">
        <v>797</v>
      </c>
      <c r="D125" s="20"/>
      <c r="E125" s="20"/>
      <c r="F125" s="20"/>
      <c r="G125" s="20">
        <v>1</v>
      </c>
      <c r="H125" s="20"/>
      <c r="I125" s="20"/>
      <c r="J125" s="21">
        <f t="shared" si="2"/>
        <v>0</v>
      </c>
      <c r="K125" s="21">
        <f t="shared" si="3"/>
        <v>4000</v>
      </c>
    </row>
    <row r="126" spans="2:11" x14ac:dyDescent="0.25">
      <c r="B126" s="18">
        <v>123</v>
      </c>
      <c r="C126" s="18">
        <v>797</v>
      </c>
      <c r="D126" s="18"/>
      <c r="E126" s="18">
        <f>C126*12</f>
        <v>9564</v>
      </c>
      <c r="F126" s="18">
        <v>9750</v>
      </c>
      <c r="G126" s="18">
        <v>1</v>
      </c>
      <c r="H126" s="18">
        <v>50712</v>
      </c>
      <c r="I126" s="18"/>
      <c r="J126" s="15">
        <f t="shared" si="2"/>
        <v>19314</v>
      </c>
      <c r="K126" s="15">
        <f t="shared" si="3"/>
        <v>4000</v>
      </c>
    </row>
    <row r="127" spans="2:11" x14ac:dyDescent="0.25">
      <c r="B127" s="18">
        <v>124</v>
      </c>
      <c r="C127" s="18">
        <v>810</v>
      </c>
      <c r="D127" s="18">
        <f>C127*12</f>
        <v>9720</v>
      </c>
      <c r="E127" s="18">
        <f>C127*12</f>
        <v>9720</v>
      </c>
      <c r="F127" s="18">
        <v>9720</v>
      </c>
      <c r="G127" s="18">
        <v>1</v>
      </c>
      <c r="H127" s="18">
        <v>50712</v>
      </c>
      <c r="I127" s="18"/>
      <c r="J127" s="15">
        <f t="shared" si="2"/>
        <v>29160</v>
      </c>
      <c r="K127" s="15">
        <f t="shared" si="3"/>
        <v>4000</v>
      </c>
    </row>
    <row r="128" spans="2:11" x14ac:dyDescent="0.25">
      <c r="B128" s="18">
        <v>125</v>
      </c>
      <c r="C128" s="18">
        <v>682</v>
      </c>
      <c r="D128" s="18">
        <f>C128*12</f>
        <v>8184</v>
      </c>
      <c r="E128" s="18">
        <f>C128*12</f>
        <v>8184</v>
      </c>
      <c r="F128" s="18">
        <v>8184</v>
      </c>
      <c r="G128" s="18"/>
      <c r="H128" s="18"/>
      <c r="I128" s="18"/>
      <c r="J128" s="15">
        <f t="shared" si="2"/>
        <v>24552</v>
      </c>
      <c r="K128" s="15">
        <f t="shared" si="3"/>
        <v>0</v>
      </c>
    </row>
  </sheetData>
  <mergeCells count="1">
    <mergeCell ref="B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1"/>
  <sheetViews>
    <sheetView showGridLines="0" showRowColHeaders="0" workbookViewId="0">
      <pane ySplit="2" topLeftCell="A3" activePane="bottomLeft" state="frozen"/>
      <selection pane="bottomLeft" activeCell="C28" sqref="C28"/>
    </sheetView>
  </sheetViews>
  <sheetFormatPr defaultRowHeight="15" x14ac:dyDescent="0.25"/>
  <cols>
    <col min="2" max="2" width="13.5703125" style="62" customWidth="1"/>
    <col min="3" max="3" width="70.140625" style="62" customWidth="1"/>
    <col min="4" max="4" width="12.28515625" style="62" customWidth="1"/>
  </cols>
  <sheetData>
    <row r="1" spans="2:4" ht="24" thickBot="1" x14ac:dyDescent="0.4">
      <c r="B1" s="152" t="s">
        <v>200</v>
      </c>
      <c r="C1" s="152"/>
      <c r="D1" s="152"/>
    </row>
    <row r="2" spans="2:4" ht="15.75" x14ac:dyDescent="0.25">
      <c r="B2" s="63" t="s">
        <v>79</v>
      </c>
      <c r="C2" s="63" t="s">
        <v>209</v>
      </c>
      <c r="D2" s="63" t="s">
        <v>210</v>
      </c>
    </row>
    <row r="3" spans="2:4" ht="15" customHeight="1" x14ac:dyDescent="0.25">
      <c r="B3" s="64">
        <v>42745</v>
      </c>
      <c r="C3" s="67" t="s">
        <v>155</v>
      </c>
      <c r="D3" s="69">
        <v>10000</v>
      </c>
    </row>
    <row r="4" spans="2:4" ht="15" customHeight="1" x14ac:dyDescent="0.25">
      <c r="B4" s="64">
        <v>42754</v>
      </c>
      <c r="C4" s="67" t="s">
        <v>156</v>
      </c>
      <c r="D4" s="69">
        <v>229.9</v>
      </c>
    </row>
    <row r="5" spans="2:4" ht="15" customHeight="1" x14ac:dyDescent="0.25">
      <c r="B5" s="64">
        <v>42745</v>
      </c>
      <c r="C5" s="67" t="s">
        <v>157</v>
      </c>
      <c r="D5" s="69">
        <v>140</v>
      </c>
    </row>
    <row r="6" spans="2:4" ht="15" customHeight="1" x14ac:dyDescent="0.25">
      <c r="B6" s="64">
        <v>42740</v>
      </c>
      <c r="C6" s="67" t="s">
        <v>201</v>
      </c>
      <c r="D6" s="69">
        <v>2000</v>
      </c>
    </row>
    <row r="7" spans="2:4" ht="15" customHeight="1" x14ac:dyDescent="0.25">
      <c r="B7" s="64">
        <v>42763</v>
      </c>
      <c r="C7" s="67" t="s">
        <v>158</v>
      </c>
      <c r="D7" s="69">
        <v>1000</v>
      </c>
    </row>
    <row r="8" spans="2:4" ht="15" customHeight="1" x14ac:dyDescent="0.25">
      <c r="B8" s="64">
        <v>42774</v>
      </c>
      <c r="C8" s="67" t="s">
        <v>155</v>
      </c>
      <c r="D8" s="69">
        <v>10000</v>
      </c>
    </row>
    <row r="9" spans="2:4" ht="15" customHeight="1" x14ac:dyDescent="0.25">
      <c r="B9" s="64">
        <v>42775</v>
      </c>
      <c r="C9" s="67" t="s">
        <v>159</v>
      </c>
      <c r="D9" s="69">
        <v>16000</v>
      </c>
    </row>
    <row r="10" spans="2:4" ht="15" customHeight="1" x14ac:dyDescent="0.25">
      <c r="B10" s="64">
        <v>42774</v>
      </c>
      <c r="C10" s="67" t="s">
        <v>157</v>
      </c>
      <c r="D10" s="69">
        <v>100</v>
      </c>
    </row>
    <row r="11" spans="2:4" ht="15" customHeight="1" x14ac:dyDescent="0.25">
      <c r="B11" s="64">
        <v>42787</v>
      </c>
      <c r="C11" s="67" t="s">
        <v>158</v>
      </c>
      <c r="D11" s="69">
        <v>1000</v>
      </c>
    </row>
    <row r="12" spans="2:4" ht="15" customHeight="1" x14ac:dyDescent="0.25">
      <c r="B12" s="64">
        <v>42782</v>
      </c>
      <c r="C12" s="67" t="s">
        <v>160</v>
      </c>
      <c r="D12" s="69">
        <v>470</v>
      </c>
    </row>
    <row r="13" spans="2:4" ht="15" customHeight="1" x14ac:dyDescent="0.25">
      <c r="B13" s="64">
        <v>42825</v>
      </c>
      <c r="C13" s="67" t="s">
        <v>161</v>
      </c>
      <c r="D13" s="69">
        <v>155</v>
      </c>
    </row>
    <row r="14" spans="2:4" ht="15" customHeight="1" x14ac:dyDescent="0.25">
      <c r="B14" s="64">
        <v>42819</v>
      </c>
      <c r="C14" s="67" t="s">
        <v>162</v>
      </c>
      <c r="D14" s="69">
        <v>4200</v>
      </c>
    </row>
    <row r="15" spans="2:4" ht="15" customHeight="1" x14ac:dyDescent="0.25">
      <c r="B15" s="64">
        <v>42804</v>
      </c>
      <c r="C15" s="67" t="s">
        <v>163</v>
      </c>
      <c r="D15" s="69">
        <v>15000</v>
      </c>
    </row>
    <row r="16" spans="2:4" ht="15" customHeight="1" x14ac:dyDescent="0.25">
      <c r="B16" s="64">
        <v>42819</v>
      </c>
      <c r="C16" s="67" t="s">
        <v>158</v>
      </c>
      <c r="D16" s="69">
        <v>1000</v>
      </c>
    </row>
    <row r="17" spans="2:4" ht="15" customHeight="1" x14ac:dyDescent="0.25">
      <c r="B17" s="64">
        <v>42842</v>
      </c>
      <c r="C17" s="67" t="s">
        <v>161</v>
      </c>
      <c r="D17" s="69">
        <v>245</v>
      </c>
    </row>
    <row r="18" spans="2:4" ht="15" customHeight="1" x14ac:dyDescent="0.25">
      <c r="B18" s="64">
        <v>42788</v>
      </c>
      <c r="C18" s="67" t="s">
        <v>164</v>
      </c>
      <c r="D18" s="69">
        <v>359.08</v>
      </c>
    </row>
    <row r="19" spans="2:4" ht="15" customHeight="1" x14ac:dyDescent="0.25">
      <c r="B19" s="64">
        <v>42851</v>
      </c>
      <c r="C19" s="67" t="s">
        <v>165</v>
      </c>
      <c r="D19" s="69">
        <v>1000</v>
      </c>
    </row>
    <row r="20" spans="2:4" ht="15" customHeight="1" x14ac:dyDescent="0.25">
      <c r="B20" s="64">
        <v>42843</v>
      </c>
      <c r="C20" s="67" t="s">
        <v>166</v>
      </c>
      <c r="D20" s="69">
        <v>230</v>
      </c>
    </row>
    <row r="21" spans="2:4" ht="15" customHeight="1" x14ac:dyDescent="0.25">
      <c r="B21" s="64">
        <v>42843</v>
      </c>
      <c r="C21" s="67" t="s">
        <v>167</v>
      </c>
      <c r="D21" s="69">
        <v>230</v>
      </c>
    </row>
    <row r="22" spans="2:4" ht="15" customHeight="1" x14ac:dyDescent="0.25">
      <c r="B22" s="64">
        <v>42843</v>
      </c>
      <c r="C22" s="67" t="s">
        <v>168</v>
      </c>
      <c r="D22" s="69">
        <v>230</v>
      </c>
    </row>
    <row r="23" spans="2:4" ht="15" customHeight="1" x14ac:dyDescent="0.25">
      <c r="B23" s="64">
        <v>42828</v>
      </c>
      <c r="C23" s="67" t="s">
        <v>169</v>
      </c>
      <c r="D23" s="69">
        <v>9803.92</v>
      </c>
    </row>
    <row r="24" spans="2:4" ht="15" customHeight="1" x14ac:dyDescent="0.25">
      <c r="B24" s="64">
        <v>42828</v>
      </c>
      <c r="C24" s="67" t="s">
        <v>170</v>
      </c>
      <c r="D24" s="69">
        <v>196.08</v>
      </c>
    </row>
    <row r="25" spans="2:4" ht="15" customHeight="1" x14ac:dyDescent="0.25">
      <c r="B25" s="64">
        <v>42835</v>
      </c>
      <c r="C25" s="67" t="s">
        <v>155</v>
      </c>
      <c r="D25" s="69">
        <v>10000</v>
      </c>
    </row>
    <row r="26" spans="2:4" ht="15" customHeight="1" x14ac:dyDescent="0.25">
      <c r="B26" s="64">
        <v>42866</v>
      </c>
      <c r="C26" s="67" t="s">
        <v>161</v>
      </c>
      <c r="D26" s="69">
        <v>160</v>
      </c>
    </row>
    <row r="27" spans="2:4" ht="15" customHeight="1" x14ac:dyDescent="0.25">
      <c r="B27" s="64">
        <v>42855</v>
      </c>
      <c r="C27" s="67" t="s">
        <v>174</v>
      </c>
      <c r="D27" s="69">
        <v>8200</v>
      </c>
    </row>
    <row r="28" spans="2:4" ht="15" customHeight="1" x14ac:dyDescent="0.25">
      <c r="B28" s="64">
        <v>42867</v>
      </c>
      <c r="C28" s="67" t="s">
        <v>164</v>
      </c>
      <c r="D28" s="69">
        <v>462.66</v>
      </c>
    </row>
    <row r="29" spans="2:4" ht="15" customHeight="1" x14ac:dyDescent="0.25">
      <c r="B29" s="64">
        <v>42881</v>
      </c>
      <c r="C29" s="67" t="s">
        <v>175</v>
      </c>
      <c r="D29" s="69">
        <v>1000</v>
      </c>
    </row>
    <row r="30" spans="2:4" ht="15" customHeight="1" x14ac:dyDescent="0.25">
      <c r="B30" s="64">
        <v>42866</v>
      </c>
      <c r="C30" s="67" t="s">
        <v>26</v>
      </c>
      <c r="D30" s="69">
        <v>13418</v>
      </c>
    </row>
    <row r="31" spans="2:4" ht="15" customHeight="1" x14ac:dyDescent="0.25">
      <c r="B31" s="64">
        <v>42859</v>
      </c>
      <c r="C31" s="67" t="s">
        <v>176</v>
      </c>
      <c r="D31" s="69">
        <v>12500</v>
      </c>
    </row>
    <row r="32" spans="2:4" ht="15" customHeight="1" x14ac:dyDescent="0.25">
      <c r="B32" s="64">
        <v>42861</v>
      </c>
      <c r="C32" s="67" t="s">
        <v>177</v>
      </c>
      <c r="D32" s="69">
        <v>4500</v>
      </c>
    </row>
    <row r="33" spans="2:4" ht="15" customHeight="1" x14ac:dyDescent="0.25">
      <c r="B33" s="64">
        <v>42879</v>
      </c>
      <c r="C33" s="67" t="s">
        <v>177</v>
      </c>
      <c r="D33" s="69">
        <v>1500</v>
      </c>
    </row>
    <row r="34" spans="2:4" ht="15" customHeight="1" x14ac:dyDescent="0.25">
      <c r="B34" s="64">
        <v>42884</v>
      </c>
      <c r="C34" s="67" t="s">
        <v>174</v>
      </c>
      <c r="D34" s="69">
        <v>5200</v>
      </c>
    </row>
    <row r="35" spans="2:4" ht="15" customHeight="1" x14ac:dyDescent="0.25">
      <c r="B35" s="64">
        <v>42916</v>
      </c>
      <c r="C35" s="67" t="s">
        <v>179</v>
      </c>
      <c r="D35" s="69">
        <v>160</v>
      </c>
    </row>
    <row r="36" spans="2:4" ht="15" customHeight="1" x14ac:dyDescent="0.25">
      <c r="B36" s="64">
        <v>42896</v>
      </c>
      <c r="C36" s="67" t="s">
        <v>180</v>
      </c>
      <c r="D36" s="69">
        <v>1090</v>
      </c>
    </row>
    <row r="37" spans="2:4" x14ac:dyDescent="0.25">
      <c r="B37" s="64">
        <v>42892</v>
      </c>
      <c r="C37" s="67" t="s">
        <v>181</v>
      </c>
      <c r="D37" s="69">
        <v>15000</v>
      </c>
    </row>
    <row r="38" spans="2:4" ht="15" customHeight="1" x14ac:dyDescent="0.25">
      <c r="B38" s="64">
        <v>42896</v>
      </c>
      <c r="C38" s="67" t="s">
        <v>182</v>
      </c>
      <c r="D38" s="69">
        <v>32.700000000000003</v>
      </c>
    </row>
    <row r="39" spans="2:4" ht="15" customHeight="1" x14ac:dyDescent="0.25">
      <c r="B39" s="64">
        <v>42897</v>
      </c>
      <c r="C39" s="67" t="s">
        <v>183</v>
      </c>
      <c r="D39" s="69">
        <v>560</v>
      </c>
    </row>
    <row r="40" spans="2:4" ht="15" customHeight="1" x14ac:dyDescent="0.25">
      <c r="B40" s="64">
        <v>42909</v>
      </c>
      <c r="C40" s="67" t="s">
        <v>184</v>
      </c>
      <c r="D40" s="69">
        <v>1000</v>
      </c>
    </row>
    <row r="41" spans="2:4" ht="15" customHeight="1" x14ac:dyDescent="0.25">
      <c r="B41" s="64">
        <v>42909</v>
      </c>
      <c r="C41" s="67" t="s">
        <v>185</v>
      </c>
      <c r="D41" s="69">
        <v>300</v>
      </c>
    </row>
    <row r="42" spans="2:4" ht="15" customHeight="1" x14ac:dyDescent="0.25">
      <c r="B42" s="65" t="s">
        <v>186</v>
      </c>
      <c r="C42" s="67" t="s">
        <v>187</v>
      </c>
      <c r="D42" s="69">
        <v>4300</v>
      </c>
    </row>
    <row r="43" spans="2:4" ht="15" customHeight="1" x14ac:dyDescent="0.25">
      <c r="B43" s="64">
        <v>42914</v>
      </c>
      <c r="C43" s="67" t="s">
        <v>185</v>
      </c>
      <c r="D43" s="69">
        <v>450</v>
      </c>
    </row>
    <row r="44" spans="2:4" ht="15" customHeight="1" x14ac:dyDescent="0.25">
      <c r="B44" s="65" t="s">
        <v>188</v>
      </c>
      <c r="C44" s="67" t="s">
        <v>189</v>
      </c>
      <c r="D44" s="69">
        <v>110</v>
      </c>
    </row>
    <row r="45" spans="2:4" ht="15" customHeight="1" x14ac:dyDescent="0.25">
      <c r="B45" s="64">
        <v>42933</v>
      </c>
      <c r="C45" s="67" t="s">
        <v>161</v>
      </c>
      <c r="D45" s="69">
        <v>185</v>
      </c>
    </row>
    <row r="46" spans="2:4" ht="14.25" customHeight="1" x14ac:dyDescent="0.25">
      <c r="B46" s="64">
        <v>42919</v>
      </c>
      <c r="C46" s="67" t="s">
        <v>217</v>
      </c>
      <c r="D46" s="69">
        <v>15000</v>
      </c>
    </row>
    <row r="47" spans="2:4" ht="15" customHeight="1" x14ac:dyDescent="0.25">
      <c r="B47" s="64">
        <v>42943</v>
      </c>
      <c r="C47" s="67" t="s">
        <v>164</v>
      </c>
      <c r="D47" s="69">
        <v>403.82</v>
      </c>
    </row>
    <row r="48" spans="2:4" x14ac:dyDescent="0.25">
      <c r="B48" s="64">
        <v>42933</v>
      </c>
      <c r="C48" s="67" t="s">
        <v>181</v>
      </c>
      <c r="D48" s="69">
        <v>10000</v>
      </c>
    </row>
    <row r="49" spans="2:4" ht="15" customHeight="1" x14ac:dyDescent="0.25">
      <c r="B49" s="64">
        <v>42942</v>
      </c>
      <c r="C49" s="67" t="s">
        <v>165</v>
      </c>
      <c r="D49" s="69">
        <v>1000</v>
      </c>
    </row>
    <row r="50" spans="2:4" x14ac:dyDescent="0.25">
      <c r="B50" s="64">
        <v>42908</v>
      </c>
      <c r="C50" s="67" t="s">
        <v>202</v>
      </c>
      <c r="D50" s="69">
        <v>367.9</v>
      </c>
    </row>
    <row r="51" spans="2:4" x14ac:dyDescent="0.25">
      <c r="B51" s="64">
        <v>42904</v>
      </c>
      <c r="C51" s="67" t="s">
        <v>202</v>
      </c>
      <c r="D51" s="69">
        <v>500</v>
      </c>
    </row>
    <row r="52" spans="2:4" x14ac:dyDescent="0.25">
      <c r="B52" s="64">
        <v>42909</v>
      </c>
      <c r="C52" s="67" t="s">
        <v>191</v>
      </c>
      <c r="D52" s="69">
        <v>200</v>
      </c>
    </row>
    <row r="53" spans="2:4" ht="15" customHeight="1" x14ac:dyDescent="0.25">
      <c r="B53" s="64">
        <v>42909</v>
      </c>
      <c r="C53" s="67" t="s">
        <v>192</v>
      </c>
      <c r="D53" s="69">
        <v>600</v>
      </c>
    </row>
    <row r="54" spans="2:4" ht="15" customHeight="1" x14ac:dyDescent="0.25">
      <c r="B54" s="64">
        <v>42989</v>
      </c>
      <c r="C54" s="67" t="s">
        <v>161</v>
      </c>
      <c r="D54" s="69">
        <v>210</v>
      </c>
    </row>
    <row r="55" spans="2:4" ht="15" customHeight="1" x14ac:dyDescent="0.25">
      <c r="B55" s="64">
        <v>42948</v>
      </c>
      <c r="C55" s="67" t="s">
        <v>203</v>
      </c>
      <c r="D55" s="69">
        <v>5000</v>
      </c>
    </row>
    <row r="56" spans="2:4" ht="15" customHeight="1" x14ac:dyDescent="0.25">
      <c r="B56" s="64">
        <v>42956</v>
      </c>
      <c r="C56" s="67" t="s">
        <v>193</v>
      </c>
      <c r="D56" s="69">
        <v>13000</v>
      </c>
    </row>
    <row r="57" spans="2:4" ht="15" customHeight="1" x14ac:dyDescent="0.25">
      <c r="B57" s="64">
        <v>42944</v>
      </c>
      <c r="C57" s="67" t="s">
        <v>164</v>
      </c>
      <c r="D57" s="69">
        <v>115</v>
      </c>
    </row>
    <row r="58" spans="2:4" ht="15" customHeight="1" x14ac:dyDescent="0.25">
      <c r="B58" s="64">
        <v>42954</v>
      </c>
      <c r="C58" s="67" t="s">
        <v>216</v>
      </c>
      <c r="D58" s="69">
        <v>1000</v>
      </c>
    </row>
    <row r="59" spans="2:4" x14ac:dyDescent="0.25">
      <c r="B59" s="64">
        <v>42971</v>
      </c>
      <c r="C59" s="67" t="s">
        <v>194</v>
      </c>
      <c r="D59" s="69">
        <v>1000</v>
      </c>
    </row>
    <row r="60" spans="2:4" ht="15" customHeight="1" x14ac:dyDescent="0.25">
      <c r="B60" s="64">
        <v>42989</v>
      </c>
      <c r="C60" s="67" t="s">
        <v>193</v>
      </c>
      <c r="D60" s="69">
        <v>13500</v>
      </c>
    </row>
    <row r="61" spans="2:4" ht="15" customHeight="1" x14ac:dyDescent="0.25">
      <c r="B61" s="64">
        <v>42989</v>
      </c>
      <c r="C61" s="67" t="s">
        <v>195</v>
      </c>
      <c r="D61" s="69">
        <v>200</v>
      </c>
    </row>
    <row r="62" spans="2:4" ht="15" customHeight="1" x14ac:dyDescent="0.25">
      <c r="B62" s="64">
        <v>42989</v>
      </c>
      <c r="C62" s="67" t="s">
        <v>196</v>
      </c>
      <c r="D62" s="69">
        <v>30</v>
      </c>
    </row>
    <row r="63" spans="2:4" ht="15" customHeight="1" x14ac:dyDescent="0.25">
      <c r="B63" s="64">
        <v>42966</v>
      </c>
      <c r="C63" s="67" t="s">
        <v>204</v>
      </c>
      <c r="D63" s="69">
        <v>250</v>
      </c>
    </row>
    <row r="64" spans="2:4" ht="15" customHeight="1" x14ac:dyDescent="0.25">
      <c r="B64" s="64">
        <v>42966</v>
      </c>
      <c r="C64" s="67" t="s">
        <v>205</v>
      </c>
      <c r="D64" s="69">
        <v>750</v>
      </c>
    </row>
    <row r="65" spans="2:4" ht="15" customHeight="1" x14ac:dyDescent="0.25">
      <c r="B65" s="64">
        <v>42989</v>
      </c>
      <c r="C65" s="67" t="s">
        <v>161</v>
      </c>
      <c r="D65" s="69">
        <v>100</v>
      </c>
    </row>
    <row r="66" spans="2:4" ht="15" customHeight="1" x14ac:dyDescent="0.25">
      <c r="B66" s="64">
        <v>42986</v>
      </c>
      <c r="C66" s="67" t="s">
        <v>215</v>
      </c>
      <c r="D66" s="69">
        <v>26000</v>
      </c>
    </row>
    <row r="67" spans="2:4" ht="15" customHeight="1" x14ac:dyDescent="0.25">
      <c r="B67" s="64">
        <v>42979</v>
      </c>
      <c r="C67" s="67" t="s">
        <v>206</v>
      </c>
      <c r="D67" s="69">
        <v>10120</v>
      </c>
    </row>
    <row r="68" spans="2:4" x14ac:dyDescent="0.25">
      <c r="B68" s="64">
        <v>42990</v>
      </c>
      <c r="C68" s="67" t="s">
        <v>207</v>
      </c>
      <c r="D68" s="69">
        <v>5640</v>
      </c>
    </row>
    <row r="69" spans="2:4" ht="15" customHeight="1" x14ac:dyDescent="0.25">
      <c r="B69" s="64">
        <v>42990</v>
      </c>
      <c r="C69" s="67" t="s">
        <v>208</v>
      </c>
      <c r="D69" s="69">
        <v>82</v>
      </c>
    </row>
    <row r="70" spans="2:4" ht="15" customHeight="1" x14ac:dyDescent="0.25">
      <c r="B70" s="64">
        <v>43002</v>
      </c>
      <c r="C70" s="67" t="s">
        <v>198</v>
      </c>
      <c r="D70" s="69">
        <v>1000</v>
      </c>
    </row>
    <row r="71" spans="2:4" ht="15" customHeight="1" thickBot="1" x14ac:dyDescent="0.3">
      <c r="B71" s="66">
        <v>42973</v>
      </c>
      <c r="C71" s="68" t="s">
        <v>199</v>
      </c>
      <c r="D71" s="70">
        <v>200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Доходы</vt:lpstr>
      <vt:lpstr>Расходы</vt:lpstr>
      <vt:lpstr>Приход по кассе</vt:lpstr>
      <vt:lpstr>Расход по кассе</vt:lpstr>
      <vt:lpstr>Задолженость по взносам</vt:lpstr>
      <vt:lpstr>Детализация расходов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All</cp:lastModifiedBy>
  <dcterms:created xsi:type="dcterms:W3CDTF">2017-10-25T18:28:50Z</dcterms:created>
  <dcterms:modified xsi:type="dcterms:W3CDTF">2017-10-27T08:44:08Z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